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<sst xmlns="http://schemas.openxmlformats.org/spreadsheetml/2006/main" count="1641" uniqueCount="1056">
  <si>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</si>
  <si>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</si>
  <si>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</si>
  <si>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</si>
  <si>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</si>
  <si>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</si>
  <si>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</si>
  <si>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</si>
  <si>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</si>
  <si>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</si>
  <si>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</si>
  <si>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</si>
  <si>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</si>
  <si>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</si>
  <si>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</si>
  <si>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</si>
  <si>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</si>
  <si>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</si>
  <si>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</si>
  <si>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</si>
  <si>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</si>
  <si>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</si>
  <si>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</si>
  <si>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</si>
  <si>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</si>
  <si>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</si>
  <si>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</si>
  <si>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</si>
  <si>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</si>
  <si>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</si>
  <si>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</si>
  <si>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</si>
  <si>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</si>
  <si>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</si>
  <si>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</si>
  <si>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</si>
  <si>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</si>
  <si>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</si>
  <si>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</si>
  <si>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</si>
  <si>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</si>
  <si>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</si>
  <si>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</si>
  <si>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</si>
  <si>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</si>
  <si>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</si>
  <si>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</si>
  <si>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</si>
  <si>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</si>
  <si>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</si>
  <si>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</si>
  <si>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</si>
  <si>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</si>
  <si>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</si>
  <si>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</si>
  <si>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</si>
  <si>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</si>
  <si>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</si>
  <si>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</si>
  <si>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</si>
  <si>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</si>
  <si>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</si>
  <si>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</si>
  <si>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</si>
  <si>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</si>
  <si>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</si>
  <si>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</si>
  <si>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</si>
  <si>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</si>
  <si>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</si>
  <si>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</si>
  <si>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</si>
  <si>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</si>
  <si>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</si>
  <si>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</si>
  <si>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</si>
  <si>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</si>
  <si>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</si>
  <si>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</si>
  <si>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</si>
  <si>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</si>
  <si>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</si>
  <si>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</si>
  <si>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</si>
  <si>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</si>
  <si>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</si>
  <si>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</si>
  <si>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</si>
  <si>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</si>
  <si>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</si>
  <si>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</si>
  <si>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</si>
  <si>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</si>
  <si>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</si>
  <si>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</si>
  <si>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</si>
  <si>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</si>
  <si>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</si>
  <si>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</si>
  <si>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</si>
  <si>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</si>
  <si>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</si>
  <si>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</si>
  <si>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</si>
  <si>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</si>
  <si>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</si>
  <si>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</si>
  <si>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</si>
  <si>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</si>
  <si>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</si>
  <si>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</si>
  <si>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</si>
  <si>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</si>
  <si>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</si>
  <si>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</si>
  <si>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</si>
  <si>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</si>
  <si>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</si>
  <si>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</si>
  <si>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</si>
  <si>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</si>
  <si>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</si>
  <si>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</si>
  <si>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</si>
  <si>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</si>
  <si>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</si>
  <si>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</si>
  <si>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</si>
  <si>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</si>
  <si>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</si>
  <si>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</si>
  <si>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</si>
  <si>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</si>
  <si>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</si>
  <si>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</si>
  <si>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</si>
  <si>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</si>
  <si>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</si>
  <si>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</si>
  <si>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</si>
  <si>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</si>
  <si>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</si>
  <si>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</si>
  <si>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</si>
  <si>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</si>
  <si>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</si>
  <si>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</si>
  <si>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</si>
  <si>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</si>
  <si>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</si>
  <si>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</si>
  <si>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</si>
  <si>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</si>
  <si>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</si>
  <si>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</si>
  <si>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</si>
  <si>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</si>
  <si>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</si>
  <si>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</si>
  <si>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</si>
  <si>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</si>
  <si>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</si>
  <si>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</si>
  <si>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</si>
  <si>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</si>
  <si>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</si>
  <si>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</si>
  <si>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</si>
  <si>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</si>
  <si>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</si>
  <si>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</si>
  <si>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</si>
  <si>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</si>
  <si>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</si>
  <si>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</si>
  <si>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</si>
  <si>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</si>
  <si>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</si>
  <si>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</si>
  <si>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</si>
  <si>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</si>
  <si>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</si>
  <si>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</si>
  <si>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</si>
  <si>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</si>
  <si>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</si>
  <si>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</si>
  <si>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</si>
  <si>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</si>
  <si>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</si>
  <si>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</si>
  <si>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</si>
  <si>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</si>
  <si>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</si>
  <si>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</si>
  <si>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</si>
  <si>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</si>
  <si>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</si>
  <si>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</si>
  <si>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</si>
  <si>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</si>
  <si>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</si>
  <si>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</si>
  <si>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</si>
  <si>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</si>
  <si>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</si>
  <si>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</si>
  <si>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</si>
  <si>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</si>
  <si>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</si>
  <si>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</si>
  <si>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</si>
  <si>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</si>
  <si>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</si>
  <si>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</si>
  <si>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</si>
  <si>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</si>
  <si>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</si>
  <si>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</si>
  <si>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</si>
  <si>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</si>
  <si>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</si>
  <si>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</si>
  <si>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</si>
  <si>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</si>
  <si>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</si>
  <si>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</si>
  <si>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</si>
  <si>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</si>
  <si>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</si>
  <si>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</si>
  <si>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</si>
  <si>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</si>
  <si>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</si>
  <si>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</si>
  <si>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</si>
  <si>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</si>
  <si>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</si>
  <si>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</si>
  <si>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</si>
  <si>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</si>
  <si>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</si>
  <si>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</si>
  <si>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</si>
  <si>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</si>
  <si>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</si>
  <si>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</si>
  <si>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</si>
  <si>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</si>
  <si>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</si>
  <si>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</si>
  <si>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</si>
  <si>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</si>
  <si>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</si>
  <si>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</si>
  <si>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</si>
  <si>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</si>
  <si>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</si>
  <si>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</si>
  <si>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</si>
  <si>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</si>
  <si>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</si>
  <si>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</si>
  <si>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</si>
  <si>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</si>
  <si>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</si>
  <si>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</si>
  <si>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</si>
  <si>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</si>
  <si>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</si>
  <si>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</si>
  <si>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</si>
  <si>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</si>
  <si>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</si>
  <si>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</si>
  <si>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</si>
  <si>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</si>
  <si>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</si>
  <si>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</si>
  <si>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</si>
  <si>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</si>
  <si>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</si>
  <si>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</si>
  <si>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</si>
  <si>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</si>
  <si>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</si>
  <si>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</si>
  <si>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</si>
  <si>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</si>
  <si>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</si>
  <si>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</si>
  <si>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</si>
  <si>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</si>
  <si>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</si>
  <si>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</si>
  <si>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</si>
  <si>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</si>
  <si>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</si>
  <si>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</si>
  <si>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</si>
  <si>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</si>
  <si>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</si>
  <si>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</si>
  <si>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</si>
  <si>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</si>
  <si>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</si>
  <si>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</si>
  <si>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</si>
  <si>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</si>
  <si>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</si>
  <si>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</si>
  <si>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</si>
  <si>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</si>
  <si>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</si>
  <si>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</si>
  <si>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</si>
  <si>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</si>
  <si>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</si>
  <si>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</si>
  <si>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</si>
  <si>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</si>
  <si>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</si>
  <si>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</si>
  <si>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</si>
  <si>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</si>
  <si>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</si>
  <si>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</si>
  <si>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</si>
  <si>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</si>
  <si>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</si>
  <si>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</si>
  <si>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</si>
  <si>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</si>
  <si>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</si>
  <si>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</si>
  <si>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</si>
  <si>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</si>
  <si>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</si>
  <si>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</si>
  <si>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</si>
  <si>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</si>
  <si>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</si>
  <si>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</si>
  <si>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</si>
  <si>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</si>
  <si>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</si>
  <si>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</si>
  <si>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</si>
  <si>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</si>
  <si>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</si>
  <si>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</si>
  <si>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</si>
  <si>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</si>
  <si>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</si>
  <si>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</si>
  <si>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</si>
  <si>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</si>
  <si>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</si>
  <si>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</si>
  <si>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</si>
  <si>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</si>
  <si>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</si>
  <si>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</si>
  <si>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</si>
  <si>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</si>
  <si>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</si>
  <si>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</si>
  <si>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</si>
  <si>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</si>
  <si>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</si>
  <si>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</si>
  <si>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</si>
  <si>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</si>
  <si>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</si>
  <si>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</si>
  <si>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</si>
  <si>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</si>
  <si>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</si>
  <si>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</si>
  <si>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</si>
  <si>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</si>
  <si>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</si>
  <si>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</si>
  <si>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</si>
  <si>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</si>
  <si>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</si>
  <si>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</si>
  <si>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</si>
  <si>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</si>
  <si>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</si>
  <si>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</si>
  <si>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</si>
  <si>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</si>
  <si>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</si>
  <si>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</si>
  <si>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</si>
  <si>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</si>
  <si>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</si>
  <si>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</si>
  <si>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</si>
  <si>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</si>
  <si>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</si>
  <si>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</si>
  <si>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</si>
  <si>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</si>
  <si>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</si>
  <si>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</si>
  <si>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</si>
  <si>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</si>
  <si>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</si>
  <si>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</si>
  <si>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</si>
  <si>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</si>
  <si>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</si>
  <si>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</si>
  <si>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</si>
  <si>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</si>
  <si>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</si>
  <si>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</si>
  <si>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</si>
  <si>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</si>
  <si>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</si>
  <si>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</si>
  <si>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</si>
  <si>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</si>
  <si>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</si>
  <si>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</si>
  <si>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</si>
  <si>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</si>
  <si>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</si>
  <si>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</si>
  <si>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</si>
  <si>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</si>
  <si>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</si>
  <si>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</si>
  <si>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</si>
  <si>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</si>
  <si>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</si>
  <si>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</si>
  <si>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</si>
  <si>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</si>
  <si>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</si>
  <si>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</si>
  <si>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</si>
  <si>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</si>
  <si>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</si>
  <si>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</si>
  <si>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</si>
  <si>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</si>
  <si>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</si>
  <si>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</si>
  <si>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</si>
  <si>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</si>
  <si>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</si>
  <si>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</si>
  <si>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</si>
  <si>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</si>
  <si>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</si>
  <si>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</si>
  <si>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</si>
  <si>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</si>
  <si>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</si>
  <si>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</si>
  <si>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</si>
  <si>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</si>
  <si>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</si>
  <si>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</si>
  <si>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</si>
  <si>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</si>
  <si>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</si>
  <si>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</si>
  <si>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</si>
  <si>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</si>
  <si>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</si>
  <si>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</si>
  <si>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</si>
  <si>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</si>
  <si>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</si>
  <si>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</si>
  <si>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</si>
  <si>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</si>
  <si>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</si>
  <si>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</si>
  <si>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</si>
  <si>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</si>
  <si>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</si>
  <si>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</si>
  <si>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</si>
  <si>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</si>
  <si>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</si>
  <si>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</si>
  <si>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</si>
  <si>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</si>
  <si>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</si>
  <si>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</si>
  <si>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</si>
  <si>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</si>
  <si>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</si>
  <si>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</si>
  <si>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</si>
  <si>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</si>
  <si>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</si>
  <si>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</si>
  <si>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</si>
  <si>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</si>
  <si>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</si>
  <si>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</si>
  <si>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</si>
  <si>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</si>
  <si>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</si>
  <si>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</si>
  <si>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</si>
  <si>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</si>
  <si>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</si>
  <si>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</si>
  <si>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</si>
  <si>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</si>
  <si>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</si>
  <si>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</si>
  <si>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</si>
  <si>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</si>
  <si>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</si>
  <si>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</si>
  <si>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</si>
  <si>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</si>
  <si>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</si>
  <si>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</si>
  <si>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</si>
  <si>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</si>
  <si>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</si>
  <si>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</si>
  <si>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</si>
  <si>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</si>
  <si>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</si>
  <si>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</si>
  <si>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</si>
  <si>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</si>
  <si>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</si>
  <si>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</si>
  <si>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</si>
  <si>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</si>
  <si>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</si>
  <si>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</si>
  <si>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</si>
  <si>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</si>
  <si>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</si>
  <si>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</si>
  <si>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</si>
  <si>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</si>
  <si>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</si>
  <si>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</si>
  <si>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</si>
  <si>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</si>
  <si>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</si>
  <si>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</si>
  <si>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</si>
  <si>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</si>
  <si>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</si>
  <si>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</si>
  <si>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</si>
  <si>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</si>
  <si>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</si>
  <si>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</si>
  <si>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</si>
  <si>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</si>
  <si>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</si>
  <si>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</si>
  <si>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</si>
  <si>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</si>
  <si>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</si>
  <si>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</si>
  <si>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</si>
  <si>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</si>
  <si>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</si>
  <si>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</si>
  <si>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</si>
  <si>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</si>
  <si>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</si>
  <si>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</si>
  <si>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</si>
  <si>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</si>
  <si>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</si>
  <si>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</si>
  <si>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</si>
  <si>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</si>
  <si>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</si>
  <si>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</si>
  <si>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</si>
  <si>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</si>
  <si>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</si>
  <si>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</si>
  <si>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</si>
  <si>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</si>
  <si>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</si>
  <si>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</si>
  <si>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</si>
  <si>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</si>
  <si>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</si>
  <si>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</si>
  <si>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</si>
  <si>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</si>
  <si>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</si>
  <si>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</si>
  <si>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</si>
  <si>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</si>
  <si>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</si>
  <si>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</si>
  <si>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</si>
  <si>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</si>
  <si>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</si>
  <si>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</si>
  <si>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</si>
  <si>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</si>
  <si>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</si>
  <si>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</si>
  <si>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</si>
  <si>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</si>
  <si>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</si>
  <si>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</si>
  <si>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</si>
  <si>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</si>
  <si>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</si>
  <si>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</si>
  <si>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</si>
  <si>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</si>
  <si>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</si>
  <si>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</si>
  <si>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</si>
  <si>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</si>
  <si>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</si>
  <si>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</si>
  <si>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</si>
  <si>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</si>
  <si>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</si>
  <si>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</si>
  <si>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</si>
  <si>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</si>
  <si>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</si>
  <si>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</si>
  <si>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</si>
  <si>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</si>
  <si>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</si>
  <si>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</si>
  <si>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</si>
  <si>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</si>
  <si>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</si>
  <si>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</si>
  <si>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</si>
  <si>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</si>
  <si>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</si>
  <si>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</si>
  <si>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</si>
  <si>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</si>
  <si>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</si>
  <si>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</si>
  <si>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</si>
  <si>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</si>
  <si>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</si>
  <si>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</si>
  <si>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</si>
  <si>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</si>
  <si>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</si>
  <si>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</si>
  <si>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</si>
  <si>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</si>
  <si>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</si>
  <si>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</si>
  <si>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</si>
  <si>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</si>
  <si>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</si>
  <si>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</si>
  <si>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</si>
  <si>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</si>
  <si>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</si>
  <si>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</si>
  <si>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</si>
  <si>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</si>
  <si>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</si>
  <si>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</si>
  <si>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</si>
  <si>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</si>
  <si>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</si>
  <si>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</si>
  <si>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</si>
  <si>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</si>
  <si>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</si>
  <si>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</si>
  <si>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</si>
  <si>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</si>
  <si>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</si>
  <si>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</si>
  <si>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</si>
  <si>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</si>
  <si>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</si>
  <si>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</si>
  <si>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</si>
  <si>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</si>
  <si>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</si>
  <si>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</si>
  <si>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</si>
  <si>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</si>
  <si>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</si>
  <si>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</si>
  <si>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</si>
  <si>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</si>
  <si>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</si>
  <si>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</si>
  <si>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</si>
  <si>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</si>
  <si>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</si>
  <si>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</si>
  <si>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</si>
  <si>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</si>
  <si>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</si>
  <si>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</si>
  <si>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</si>
  <si>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</si>
  <si>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</si>
  <si>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</si>
  <si>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</si>
  <si>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</si>
  <si>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</si>
  <si>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</si>
  <si>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</si>
  <si>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</si>
  <si>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</si>
  <si>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</si>
  <si>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</si>
  <si>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</si>
  <si>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</si>
  <si>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</si>
  <si>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</si>
  <si>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</si>
  <si>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</si>
  <si>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</si>
  <si>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</si>
  <si>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</si>
  <si>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</si>
  <si>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</si>
  <si>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</si>
  <si>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</si>
  <si>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</si>
  <si>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</si>
  <si>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</si>
  <si>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</si>
  <si>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</si>
  <si>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</si>
  <si>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</si>
  <si>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</si>
  <si>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</si>
  <si>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</si>
  <si>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</si>
  <si>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</si>
  <si>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</si>
  <si>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</si>
  <si>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</si>
  <si>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</si>
  <si>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</si>
  <si>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</si>
  <si>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</si>
  <si>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</si>
  <si>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</si>
  <si>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</si>
  <si>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</si>
  <si>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</si>
  <si>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</si>
  <si>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</si>
  <si>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</si>
  <si>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</si>
  <si>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</si>
  <si>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</si>
  <si>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</si>
  <si>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</si>
  <si>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</si>
  <si>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</si>
  <si>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</si>
  <si>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</si>
  <si>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</si>
  <si>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</si>
  <si>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</si>
  <si>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</si>
  <si>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</si>
  <si>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</si>
  <si>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</si>
  <si>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</si>
  <si>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</si>
  <si>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</si>
  <si>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</si>
  <si>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</si>
  <si>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</si>
  <si>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</si>
  <si>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</si>
  <si>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</si>
  <si>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</si>
  <si>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</si>
  <si>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</si>
  <si>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</si>
  <si>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</si>
  <si>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</si>
  <si>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</si>
  <si>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</si>
  <si>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</si>
  <si>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</si>
  <si>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</si>
  <si>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</si>
  <si>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</si>
  <si>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</si>
  <si>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</si>
  <si>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</si>
  <si>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</si>
  <si>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</si>
  <si>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</si>
  <si>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</si>
  <si>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</si>
  <si>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</si>
  <si>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</si>
  <si>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</si>
  <si>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</si>
  <si>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</si>
  <si>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</si>
  <si>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</si>
  <si>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</si>
  <si>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</si>
  <si>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</si>
  <si>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</si>
  <si>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</si>
  <si>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</si>
  <si>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</si>
  <si>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</si>
  <si>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</si>
  <si>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</si>
  <si>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</si>
  <si>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</si>
  <si>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</si>
  <si>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</si>
  <si>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</si>
  <si>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</si>
  <si>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</si>
  <si>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</si>
  <si>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</si>
  <si>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</si>
  <si>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</si>
  <si>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</si>
  <si>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</si>
  <si>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</si>
  <si>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</si>
  <si>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</si>
  <si>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</si>
  <si>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</si>
  <si>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</si>
  <si>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</si>
  <si>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</si>
  <si>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</si>
  <si>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</si>
  <si>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</si>
  <si>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</si>
  <si>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</si>
  <si>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</si>
  <si>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</si>
  <si>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</si>
  <si>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</si>
  <si>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</si>
  <si>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</si>
  <si>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</si>
  <si>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</si>
  <si>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</si>
  <si>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</si>
  <si>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</si>
  <si>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</si>
  <si>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</si>
  <si>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</si>
  <si>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</si>
  <si>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</si>
  <si>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</si>
  <si>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</si>
  <si>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</si>
  <si>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</si>
  <si>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</si>
  <si>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</si>
  <si>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</si>
  <si>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</si>
  <si>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</si>
  <si>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</si>
  <si>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</si>
  <si>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</si>
  <si>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</si>
  <si>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</si>
  <si>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</si>
  <si>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</si>
  <si>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</si>
  <si>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</si>
  <si>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</si>
  <si>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</si>
  <si>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</si>
  <si>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</si>
  <si>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</si>
  <si>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</si>
  <si>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</si>
  <si>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</si>
  <si>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</si>
  <si>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</si>
  <si>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</si>
  <si>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</si>
  <si>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</si>
  <si>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</si>
  <si>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</si>
  <si>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</si>
  <si>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</si>
  <si>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</si>
  <si>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</si>
  <si>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</si>
  <si>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</si>
  <si>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</si>
  <si>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</si>
  <si>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</si>
  <si>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</si>
  <si>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</si>
  <si>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</si>
  <si>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</si>
  <si>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</si>
  <si>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</si>
  <si>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</si>
  <si>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</si>
  <si>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</si>
  <si>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</si>
  <si>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</si>
  <si>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</si>
  <si>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</si>
  <si>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</si>
  <si>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</si>
  <si>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</si>
  <si>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</si>
  <si>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</si>
  <si>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</si>
  <si>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</si>
  <si>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</si>
  <si>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</si>
  <si>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</si>
  <si>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</si>
  <si>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</si>
  <si>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</si>
  <si>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</si>
  <si>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</si>
  <si>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</si>
  <si>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</si>
  <si>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</si>
  <si>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</si>
  <si>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</si>
  <si>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</si>
  <si>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</si>
  <si>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</si>
  <si>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</si>
  <si>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</si>
  <si>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</si>
  <si>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</si>
  <si>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</si>
  <si>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</si>
  <si>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</si>
  <si>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</si>
  <si>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</si>
  <si>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</si>
  <si>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</si>
  <si>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</si>
  <si>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</si>
  <si>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</si>
  <si>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</si>
  <si>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</si>
  <si>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</si>
  <si>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</si>
  <si>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</si>
  <si>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</si>
  <si>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</si>
  <si>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</si>
  <si>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</si>
  <si>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</si>
  <si>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</si>
  <si>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</si>
  <si>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</si>
  <si>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</si>
  <si>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</si>
  <si>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</si>
  <si>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</si>
  <si>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</si>
  <si>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</si>
  <si>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</si>
  <si>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</si>
  <si>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</si>
  <si>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</si>
  <si>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</si>
  <si>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</si>
  <si>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</si>
  <si>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</si>
  <si>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</si>
  <si>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</si>
  <si>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</si>
  <si>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</si>
  <si>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</si>
  <si>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</si>
  <si>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</si>
  <si>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&lt;EXERCÍCIO &gt;</t>
    </r>
    <r>
      <rPr>
        <b/>
        <vertAlign val="superscript"/>
        <sz val="12"/>
        <color indexed="53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</si>
  <si>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</si>
  <si>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CANCELADO EM </t>
    </r>
    <r>
      <rPr>
        <b/>
        <sz val="12"/>
        <color indexed="5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</si>
  <si>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&lt;EXERCÍCIO ANTERIOR&gt;</t>
    </r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</si>
  <si>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</si>
  <si>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</si>
  <si>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</si>
  <si>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</si>
  <si>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</si>
  <si>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</si>
  <si>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</si>
  <si>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</si>
  <si>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</si>
  <si>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</si>
  <si>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</si>
  <si>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</si>
  <si>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</si>
  <si>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</si>
  <si>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</si>
  <si>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</si>
  <si>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</si>
  <si>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</si>
  <si>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</si>
  <si>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</si>
  <si>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</si>
  <si>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</si>
  <si>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</si>
  <si>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</si>
  <si>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</si>
  <si>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FONTE: SCPI - Contabilidade [8.21.16.1809], PREFEITURA MUNICIPAL DE SÃO PEDRO DA ÁGUA BRANCA, Data/hora da emissão: 01/dez/2016  15h e 19m"</t>
  </si>
  <si>
    <t>NOV/2015</t>
  </si>
  <si>
    <t>DEZ/2015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</si>
  <si>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</si>
  <si>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</si>
  <si>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</si>
  <si>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</si>
  <si>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</si>
  <si>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</si>
  <si>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</si>
  <si>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</si>
  <si>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SET/2016</t>
  </si>
  <si>
    <t>OUT/2016</t>
  </si>
  <si>
    <t>FONTE: SCPI - Contabilidade [8.21.16.1809], PREFEITURA MUNICIPAL DE SÃO PEDRO DA ÁGUA BRANCA, Data/hora da emissão: 01/dez/2016  15h e 21m"</t>
  </si>
  <si>
    <t>FONTE: SCPI - Contabilidade [8.21.16.1809], PREFEITURA MUNICIPAL DE SÃO PEDRO DA ÁGUA BRANCA, Data/hora da emissão: 01/dez/2016  15h e 22m"</t>
  </si>
  <si>
    <t>FONTE: SCPI - Contabilidade [8.21.16.1809], PREFEITURA MUNICIPAL DE SÃO PEDRO DA ÁGUA BRANCA, Data/hora da emissão: 01/dez/2016  15h e 23m"</t>
  </si>
  <si>
    <t>PREFEITURA MUNICIPAL DE SÃO PEDRO DA ÁGUA BRANCA</t>
  </si>
  <si>
    <t>CNPJ: 01.613.956/0001-21</t>
  </si>
  <si>
    <t>VANDERLUCIO SIMAO RIBEIRO</t>
  </si>
  <si>
    <t>2013-2016</t>
  </si>
  <si>
    <t>508.863.981-34</t>
  </si>
  <si>
    <t>RAIMUNDO LUIZ NOGUEIRA</t>
  </si>
  <si>
    <t>001067/O-7</t>
  </si>
  <si>
    <t>MURAL DA PREFEITURA E PORTAL DA PREFEITURA</t>
  </si>
  <si>
    <t>WWW.SAOPEDRODAAGUABRANCA.MA.GOV.BR</t>
  </si>
  <si>
    <t xml:space="preserve">AV. PRESIDENTE GEISEL,691 - CENTRO </t>
  </si>
  <si>
    <t>pmspab@hotmail.com</t>
  </si>
  <si>
    <t>3256-2348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</si>
</sst>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0.0%"/>
    <numFmt numFmtId="168" formatCode="_-* #,##0.0_-;\-* #,##0.0_-;_-* &quot;-&quot;??_-;_-@_-"/>
    <numFmt numFmtId="169" formatCode="_-* #,##0_-;\-* #,##0_-;_-* &quot;-&quot;??_-;_-@_-"/>
  </numFmts>
  <fonts count="11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trike/>
      <sz val="8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53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u val="single"/>
      <sz val="8"/>
      <name val="Cambria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24997000396251678"/>
      <name val="Cambria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Cambria"/>
      <family val="1"/>
    </font>
    <font>
      <b/>
      <sz val="9"/>
      <color rgb="FFFF0000"/>
      <name val="Times New Roman"/>
      <family val="1"/>
    </font>
    <font>
      <b/>
      <sz val="16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4" fillId="21" borderId="1" applyNumberFormat="0" applyAlignment="0" applyProtection="0"/>
    <xf numFmtId="0" fontId="85" fillId="22" borderId="2" applyNumberFormat="0" applyAlignment="0" applyProtection="0"/>
    <xf numFmtId="0" fontId="86" fillId="0" borderId="3" applyNumberFormat="0" applyFill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7" fillId="29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4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16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100" fillId="0" borderId="0" xfId="0" applyFont="1" applyFill="1" applyBorder="1" applyAlignment="1">
      <alignment/>
    </xf>
    <xf numFmtId="37" fontId="100" fillId="0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37" fontId="2" fillId="33" borderId="1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3" fillId="34" borderId="20" xfId="50" applyFont="1" applyFill="1" applyBorder="1" applyAlignment="1" applyProtection="1">
      <alignment horizontal="center" vertical="center"/>
      <protection/>
    </xf>
    <xf numFmtId="0" fontId="0" fillId="34" borderId="21" xfId="50" applyFill="1" applyBorder="1" applyAlignment="1" applyProtection="1">
      <alignment vertical="center"/>
      <protection/>
    </xf>
    <xf numFmtId="0" fontId="0" fillId="0" borderId="22" xfId="50" applyFont="1" applyBorder="1" applyAlignment="1" applyProtection="1">
      <alignment horizontal="left" vertical="center"/>
      <protection/>
    </xf>
    <xf numFmtId="0" fontId="101" fillId="35" borderId="22" xfId="50" applyFont="1" applyFill="1" applyBorder="1" applyAlignment="1" applyProtection="1">
      <alignment horizontal="left" vertical="center"/>
      <protection/>
    </xf>
    <xf numFmtId="0" fontId="0" fillId="0" borderId="22" xfId="50" applyFont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49" fontId="11" fillId="10" borderId="0" xfId="0" applyNumberFormat="1" applyFont="1" applyFill="1" applyBorder="1" applyAlignment="1" applyProtection="1">
      <alignment/>
      <protection/>
    </xf>
    <xf numFmtId="43" fontId="11" fillId="10" borderId="23" xfId="68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6" fillId="4" borderId="11" xfId="0" applyNumberFormat="1" applyFont="1" applyFill="1" applyBorder="1" applyAlignment="1" applyProtection="1">
      <alignment/>
      <protection/>
    </xf>
    <xf numFmtId="43" fontId="6" fillId="4" borderId="24" xfId="68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43" fontId="6" fillId="0" borderId="24" xfId="68" applyFont="1" applyFill="1" applyBorder="1" applyAlignment="1" applyProtection="1">
      <alignment/>
      <protection/>
    </xf>
    <xf numFmtId="49" fontId="11" fillId="10" borderId="11" xfId="0" applyNumberFormat="1" applyFont="1" applyFill="1" applyBorder="1" applyAlignment="1" applyProtection="1">
      <alignment horizontal="left"/>
      <protection/>
    </xf>
    <xf numFmtId="43" fontId="6" fillId="10" borderId="24" xfId="68" applyFont="1" applyFill="1" applyBorder="1" applyAlignment="1" applyProtection="1">
      <alignment/>
      <protection/>
    </xf>
    <xf numFmtId="49" fontId="11" fillId="33" borderId="10" xfId="0" applyNumberFormat="1" applyFont="1" applyFill="1" applyBorder="1" applyAlignment="1" applyProtection="1">
      <alignment/>
      <protection/>
    </xf>
    <xf numFmtId="43" fontId="11" fillId="33" borderId="25" xfId="68" applyFont="1" applyFill="1" applyBorder="1" applyAlignment="1" applyProtection="1">
      <alignment/>
      <protection/>
    </xf>
    <xf numFmtId="0" fontId="6" fillId="0" borderId="26" xfId="50" applyFont="1" applyBorder="1" applyAlignment="1" applyProtection="1">
      <alignment vertical="top" wrapText="1"/>
      <protection locked="0"/>
    </xf>
    <xf numFmtId="0" fontId="102" fillId="36" borderId="12" xfId="0" applyFont="1" applyFill="1" applyBorder="1" applyAlignment="1" applyProtection="1">
      <alignment horizontal="center" vertical="center" wrapText="1"/>
      <protection locked="0"/>
    </xf>
    <xf numFmtId="0" fontId="102" fillId="36" borderId="11" xfId="0" applyFont="1" applyFill="1" applyBorder="1" applyAlignment="1" applyProtection="1">
      <alignment horizontal="center" vertical="center" wrapText="1"/>
      <protection locked="0"/>
    </xf>
    <xf numFmtId="0" fontId="102" fillId="36" borderId="26" xfId="0" applyFont="1" applyFill="1" applyBorder="1" applyAlignment="1" applyProtection="1">
      <alignment horizontal="center" vertical="center" wrapText="1"/>
      <protection locked="0"/>
    </xf>
    <xf numFmtId="0" fontId="102" fillId="36" borderId="0" xfId="0" applyFont="1" applyFill="1" applyBorder="1" applyAlignment="1" applyProtection="1">
      <alignment horizontal="center" vertical="center" wrapText="1"/>
      <protection locked="0"/>
    </xf>
    <xf numFmtId="10" fontId="6" fillId="0" borderId="16" xfId="54" applyNumberFormat="1" applyFont="1" applyFill="1" applyBorder="1" applyAlignment="1" applyProtection="1">
      <alignment/>
      <protection/>
    </xf>
    <xf numFmtId="10" fontId="6" fillId="0" borderId="19" xfId="54" applyNumberFormat="1" applyFont="1" applyFill="1" applyBorder="1" applyAlignment="1" applyProtection="1">
      <alignment/>
      <protection/>
    </xf>
    <xf numFmtId="43" fontId="20" fillId="36" borderId="16" xfId="68" applyFont="1" applyFill="1" applyBorder="1" applyAlignment="1" applyProtection="1">
      <alignment horizontal="left"/>
      <protection/>
    </xf>
    <xf numFmtId="43" fontId="20" fillId="36" borderId="24" xfId="68" applyFont="1" applyFill="1" applyBorder="1" applyAlignment="1" applyProtection="1">
      <alignment horizontal="left"/>
      <protection/>
    </xf>
    <xf numFmtId="43" fontId="20" fillId="0" borderId="25" xfId="68" applyFont="1" applyFill="1" applyBorder="1" applyAlignment="1" applyProtection="1">
      <alignment/>
      <protection/>
    </xf>
    <xf numFmtId="43" fontId="28" fillId="0" borderId="17" xfId="68" applyFont="1" applyFill="1" applyBorder="1" applyAlignment="1" applyProtection="1">
      <alignment vertical="center" wrapText="1"/>
      <protection/>
    </xf>
    <xf numFmtId="10" fontId="6" fillId="0" borderId="18" xfId="54" applyNumberFormat="1" applyFont="1" applyFill="1" applyBorder="1" applyAlignment="1" applyProtection="1">
      <alignment/>
      <protection/>
    </xf>
    <xf numFmtId="10" fontId="6" fillId="0" borderId="17" xfId="54" applyNumberFormat="1" applyFont="1" applyFill="1" applyBorder="1" applyAlignment="1" applyProtection="1">
      <alignment/>
      <protection/>
    </xf>
    <xf numFmtId="0" fontId="103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16" borderId="0" xfId="0" applyFont="1" applyFill="1" applyBorder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33" borderId="12" xfId="0" applyNumberFormat="1" applyFont="1" applyFill="1" applyBorder="1" applyAlignment="1" applyProtection="1">
      <alignment horizontal="center" vertical="center"/>
      <protection/>
    </xf>
    <xf numFmtId="37" fontId="14" fillId="33" borderId="11" xfId="0" applyNumberFormat="1" applyFont="1" applyFill="1" applyBorder="1" applyAlignment="1" applyProtection="1">
      <alignment horizontal="center" vertical="center"/>
      <protection/>
    </xf>
    <xf numFmtId="37" fontId="6" fillId="33" borderId="15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43" fontId="6" fillId="0" borderId="23" xfId="68" applyFont="1" applyFill="1" applyBorder="1" applyAlignment="1" applyProtection="1">
      <alignment horizontal="center" vertical="center"/>
      <protection/>
    </xf>
    <xf numFmtId="43" fontId="6" fillId="0" borderId="18" xfId="68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vertical="center"/>
      <protection/>
    </xf>
    <xf numFmtId="43" fontId="6" fillId="10" borderId="16" xfId="68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10" borderId="0" xfId="0" applyNumberFormat="1" applyFont="1" applyFill="1" applyAlignment="1" applyProtection="1">
      <alignment vertical="center"/>
      <protection/>
    </xf>
    <xf numFmtId="43" fontId="6" fillId="10" borderId="24" xfId="68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Alignment="1" applyProtection="1">
      <alignment vertical="center"/>
      <protection/>
    </xf>
    <xf numFmtId="43" fontId="6" fillId="4" borderId="24" xfId="68" applyFont="1" applyFill="1" applyBorder="1" applyAlignment="1" applyProtection="1">
      <alignment vertical="center" wrapText="1"/>
      <protection/>
    </xf>
    <xf numFmtId="43" fontId="6" fillId="4" borderId="16" xfId="68" applyFont="1" applyFill="1" applyBorder="1" applyAlignment="1" applyProtection="1">
      <alignment vertical="center" wrapText="1"/>
      <protection/>
    </xf>
    <xf numFmtId="37" fontId="6" fillId="0" borderId="15" xfId="0" applyNumberFormat="1" applyFont="1" applyFill="1" applyBorder="1" applyAlignment="1" applyProtection="1">
      <alignment horizontal="left" vertical="center"/>
      <protection/>
    </xf>
    <xf numFmtId="49" fontId="11" fillId="33" borderId="10" xfId="0" applyNumberFormat="1" applyFont="1" applyFill="1" applyBorder="1" applyAlignment="1" applyProtection="1">
      <alignment vertical="center"/>
      <protection/>
    </xf>
    <xf numFmtId="43" fontId="6" fillId="33" borderId="19" xfId="68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9" fontId="11" fillId="33" borderId="14" xfId="0" applyNumberFormat="1" applyFont="1" applyFill="1" applyBorder="1" applyAlignment="1" applyProtection="1">
      <alignment horizontal="justify" vertical="center"/>
      <protection/>
    </xf>
    <xf numFmtId="43" fontId="6" fillId="33" borderId="17" xfId="68" applyFont="1" applyFill="1" applyBorder="1" applyAlignment="1" applyProtection="1">
      <alignment vertical="center" wrapText="1"/>
      <protection/>
    </xf>
    <xf numFmtId="0" fontId="6" fillId="37" borderId="19" xfId="0" applyFont="1" applyFill="1" applyBorder="1" applyAlignment="1" applyProtection="1">
      <alignment vertical="center" wrapText="1"/>
      <protection/>
    </xf>
    <xf numFmtId="0" fontId="104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4" borderId="0" xfId="0" applyFont="1" applyFill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justify" vertical="top" wrapText="1"/>
      <protection/>
    </xf>
    <xf numFmtId="0" fontId="14" fillId="33" borderId="25" xfId="0" applyFont="1" applyFill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7" fontId="6" fillId="33" borderId="26" xfId="0" applyNumberFormat="1" applyFont="1" applyFill="1" applyBorder="1" applyAlignment="1" applyProtection="1">
      <alignment horizontal="center" vertical="center"/>
      <protection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13" xfId="0" applyNumberFormat="1" applyFont="1" applyFill="1" applyBorder="1" applyAlignment="1" applyProtection="1">
      <alignment horizontal="center" vertical="center"/>
      <protection/>
    </xf>
    <xf numFmtId="37" fontId="11" fillId="33" borderId="27" xfId="0" applyNumberFormat="1" applyFont="1" applyFill="1" applyBorder="1" applyAlignment="1" applyProtection="1">
      <alignment horizontal="center"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43" fontId="6" fillId="0" borderId="24" xfId="68" applyFont="1" applyFill="1" applyBorder="1" applyAlignment="1" applyProtection="1">
      <alignment vertical="center" wrapText="1"/>
      <protection/>
    </xf>
    <xf numFmtId="43" fontId="6" fillId="0" borderId="18" xfId="68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43" fontId="6" fillId="0" borderId="27" xfId="68" applyFont="1" applyFill="1" applyBorder="1" applyAlignment="1" applyProtection="1">
      <alignment vertical="center" wrapText="1"/>
      <protection/>
    </xf>
    <xf numFmtId="43" fontId="6" fillId="0" borderId="17" xfId="68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6" fillId="33" borderId="15" xfId="0" applyNumberFormat="1" applyFont="1" applyFill="1" applyBorder="1" applyAlignment="1" applyProtection="1">
      <alignment vertical="center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indent="2"/>
      <protection/>
    </xf>
    <xf numFmtId="0" fontId="6" fillId="33" borderId="14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43" fontId="6" fillId="0" borderId="16" xfId="68" applyFont="1" applyFill="1" applyBorder="1" applyAlignment="1" applyProtection="1">
      <alignment vertical="center" wrapText="1"/>
      <protection/>
    </xf>
    <xf numFmtId="43" fontId="6" fillId="0" borderId="16" xfId="68" applyFont="1" applyFill="1" applyBorder="1" applyAlignment="1" applyProtection="1">
      <alignment vertical="center"/>
      <protection/>
    </xf>
    <xf numFmtId="37" fontId="6" fillId="37" borderId="25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/>
      <protection/>
    </xf>
    <xf numFmtId="43" fontId="6" fillId="33" borderId="19" xfId="68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43" fontId="6" fillId="33" borderId="25" xfId="68" applyFont="1" applyFill="1" applyBorder="1" applyAlignment="1" applyProtection="1">
      <alignment vertical="center"/>
      <protection/>
    </xf>
    <xf numFmtId="43" fontId="6" fillId="33" borderId="25" xfId="0" applyNumberFormat="1" applyFont="1" applyFill="1" applyBorder="1" applyAlignment="1" applyProtection="1">
      <alignment vertical="center"/>
      <protection/>
    </xf>
    <xf numFmtId="43" fontId="6" fillId="33" borderId="19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1" fillId="33" borderId="17" xfId="50" applyFont="1" applyFill="1" applyBorder="1" applyAlignment="1" applyProtection="1">
      <alignment horizontal="center"/>
      <protection/>
    </xf>
    <xf numFmtId="0" fontId="11" fillId="33" borderId="17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3" fontId="6" fillId="0" borderId="16" xfId="68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37" fontId="6" fillId="0" borderId="24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9" fontId="11" fillId="0" borderId="16" xfId="0" applyNumberFormat="1" applyFont="1" applyFill="1" applyBorder="1" applyAlignment="1" applyProtection="1">
      <alignment/>
      <protection/>
    </xf>
    <xf numFmtId="37" fontId="11" fillId="0" borderId="16" xfId="0" applyNumberFormat="1" applyFont="1" applyFill="1" applyBorder="1" applyAlignment="1" applyProtection="1">
      <alignment wrapText="1"/>
      <protection/>
    </xf>
    <xf numFmtId="37" fontId="11" fillId="0" borderId="11" xfId="0" applyNumberFormat="1" applyFont="1" applyFill="1" applyBorder="1" applyAlignment="1" applyProtection="1">
      <alignment wrapText="1"/>
      <protection/>
    </xf>
    <xf numFmtId="37" fontId="11" fillId="0" borderId="24" xfId="0" applyNumberFormat="1" applyFont="1" applyFill="1" applyBorder="1" applyAlignment="1" applyProtection="1">
      <alignment wrapText="1"/>
      <protection/>
    </xf>
    <xf numFmtId="43" fontId="6" fillId="33" borderId="25" xfId="68" applyFont="1" applyFill="1" applyBorder="1" applyAlignment="1" applyProtection="1">
      <alignment/>
      <protection/>
    </xf>
    <xf numFmtId="43" fontId="6" fillId="33" borderId="19" xfId="68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43" fontId="6" fillId="0" borderId="25" xfId="68" applyFont="1" applyFill="1" applyBorder="1" applyAlignment="1" applyProtection="1">
      <alignment horizontal="center"/>
      <protection/>
    </xf>
    <xf numFmtId="43" fontId="6" fillId="0" borderId="24" xfId="68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0" fillId="38" borderId="22" xfId="50" applyFont="1" applyFill="1" applyBorder="1" applyAlignment="1" applyProtection="1">
      <alignment horizontal="left" vertical="center"/>
      <protection/>
    </xf>
    <xf numFmtId="0" fontId="81" fillId="38" borderId="22" xfId="50" applyFont="1" applyFill="1" applyBorder="1" applyAlignment="1" applyProtection="1">
      <alignment horizontal="left" vertical="center" wrapText="1"/>
      <protection/>
    </xf>
    <xf numFmtId="0" fontId="0" fillId="38" borderId="28" xfId="50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3" fontId="6" fillId="0" borderId="0" xfId="68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166" fontId="11" fillId="33" borderId="24" xfId="0" applyNumberFormat="1" applyFont="1" applyFill="1" applyBorder="1" applyAlignment="1" applyProtection="1">
      <alignment horizontal="center"/>
      <protection/>
    </xf>
    <xf numFmtId="49" fontId="11" fillId="33" borderId="24" xfId="0" applyNumberFormat="1" applyFont="1" applyFill="1" applyBorder="1" applyAlignment="1" applyProtection="1">
      <alignment horizontal="center"/>
      <protection/>
    </xf>
    <xf numFmtId="166" fontId="11" fillId="33" borderId="27" xfId="0" applyNumberFormat="1" applyFont="1" applyFill="1" applyBorder="1" applyAlignment="1" applyProtection="1">
      <alignment horizontal="center"/>
      <protection/>
    </xf>
    <xf numFmtId="49" fontId="11" fillId="33" borderId="27" xfId="0" applyNumberFormat="1" applyFont="1" applyFill="1" applyBorder="1" applyAlignment="1" applyProtection="1">
      <alignment horizontal="center"/>
      <protection/>
    </xf>
    <xf numFmtId="49" fontId="11" fillId="33" borderId="17" xfId="0" applyNumberFormat="1" applyFont="1" applyFill="1" applyBorder="1" applyAlignment="1" applyProtection="1">
      <alignment horizontal="center"/>
      <protection/>
    </xf>
    <xf numFmtId="0" fontId="6" fillId="16" borderId="11" xfId="0" applyFont="1" applyFill="1" applyBorder="1" applyAlignment="1" applyProtection="1">
      <alignment wrapText="1"/>
      <protection/>
    </xf>
    <xf numFmtId="10" fontId="6" fillId="16" borderId="23" xfId="54" applyNumberFormat="1" applyFont="1" applyFill="1" applyBorder="1" applyAlignment="1" applyProtection="1">
      <alignment/>
      <protection/>
    </xf>
    <xf numFmtId="43" fontId="6" fillId="16" borderId="18" xfId="68" applyFont="1" applyFill="1" applyBorder="1" applyAlignment="1" applyProtection="1">
      <alignment/>
      <protection/>
    </xf>
    <xf numFmtId="49" fontId="6" fillId="10" borderId="11" xfId="0" applyNumberFormat="1" applyFont="1" applyFill="1" applyBorder="1" applyAlignment="1" applyProtection="1">
      <alignment/>
      <protection/>
    </xf>
    <xf numFmtId="10" fontId="6" fillId="10" borderId="24" xfId="54" applyNumberFormat="1" applyFont="1" applyFill="1" applyBorder="1" applyAlignment="1" applyProtection="1">
      <alignment/>
      <protection/>
    </xf>
    <xf numFmtId="43" fontId="6" fillId="10" borderId="16" xfId="68" applyFont="1" applyFill="1" applyBorder="1" applyAlignment="1" applyProtection="1">
      <alignment/>
      <protection/>
    </xf>
    <xf numFmtId="10" fontId="6" fillId="4" borderId="16" xfId="54" applyNumberFormat="1" applyFont="1" applyFill="1" applyBorder="1" applyAlignment="1" applyProtection="1">
      <alignment/>
      <protection/>
    </xf>
    <xf numFmtId="43" fontId="6" fillId="4" borderId="16" xfId="68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0" fontId="6" fillId="0" borderId="16" xfId="54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left" indent="2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justify" vertical="top" wrapText="1"/>
      <protection/>
    </xf>
    <xf numFmtId="0" fontId="6" fillId="0" borderId="11" xfId="0" applyFont="1" applyFill="1" applyBorder="1" applyAlignment="1" applyProtection="1">
      <alignment horizontal="justify" vertical="top" wrapText="1"/>
      <protection/>
    </xf>
    <xf numFmtId="0" fontId="12" fillId="16" borderId="15" xfId="0" applyFont="1" applyFill="1" applyBorder="1" applyAlignment="1" applyProtection="1">
      <alignment horizontal="justify" vertical="top" wrapText="1"/>
      <protection/>
    </xf>
    <xf numFmtId="10" fontId="6" fillId="16" borderId="16" xfId="54" applyNumberFormat="1" applyFont="1" applyFill="1" applyBorder="1" applyAlignment="1" applyProtection="1">
      <alignment/>
      <protection/>
    </xf>
    <xf numFmtId="43" fontId="6" fillId="16" borderId="16" xfId="68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/>
      <protection/>
    </xf>
    <xf numFmtId="37" fontId="6" fillId="37" borderId="19" xfId="0" applyNumberFormat="1" applyFont="1" applyFill="1" applyBorder="1" applyAlignment="1" applyProtection="1">
      <alignment horizontal="center"/>
      <protection/>
    </xf>
    <xf numFmtId="43" fontId="6" fillId="0" borderId="19" xfId="68" applyFont="1" applyFill="1" applyBorder="1" applyAlignment="1" applyProtection="1">
      <alignment/>
      <protection/>
    </xf>
    <xf numFmtId="0" fontId="6" fillId="16" borderId="12" xfId="0" applyNumberFormat="1" applyFont="1" applyFill="1" applyBorder="1" applyAlignment="1" applyProtection="1">
      <alignment wrapText="1"/>
      <protection/>
    </xf>
    <xf numFmtId="10" fontId="6" fillId="10" borderId="16" xfId="54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justify"/>
      <protection/>
    </xf>
    <xf numFmtId="0" fontId="6" fillId="0" borderId="10" xfId="0" applyFont="1" applyBorder="1" applyAlignment="1" applyProtection="1">
      <alignment/>
      <protection/>
    </xf>
    <xf numFmtId="0" fontId="11" fillId="33" borderId="26" xfId="0" applyNumberFormat="1" applyFont="1" applyFill="1" applyBorder="1" applyAlignment="1" applyProtection="1">
      <alignment/>
      <protection/>
    </xf>
    <xf numFmtId="0" fontId="11" fillId="33" borderId="23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11" fillId="33" borderId="24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1" fillId="33" borderId="13" xfId="0" applyNumberFormat="1" applyFont="1" applyFill="1" applyBorder="1" applyAlignment="1" applyProtection="1">
      <alignment/>
      <protection/>
    </xf>
    <xf numFmtId="0" fontId="11" fillId="33" borderId="17" xfId="0" applyNumberFormat="1" applyFont="1" applyFill="1" applyBorder="1" applyAlignment="1" applyProtection="1">
      <alignment horizontal="center"/>
      <protection/>
    </xf>
    <xf numFmtId="0" fontId="11" fillId="33" borderId="27" xfId="0" applyNumberFormat="1" applyFont="1" applyFill="1" applyBorder="1" applyAlignment="1" applyProtection="1">
      <alignment horizontal="center"/>
      <protection/>
    </xf>
    <xf numFmtId="0" fontId="6" fillId="16" borderId="0" xfId="0" applyNumberFormat="1" applyFont="1" applyFill="1" applyBorder="1" applyAlignment="1" applyProtection="1">
      <alignment wrapText="1"/>
      <protection/>
    </xf>
    <xf numFmtId="0" fontId="6" fillId="10" borderId="0" xfId="0" applyNumberFormat="1" applyFont="1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indent="3"/>
      <protection/>
    </xf>
    <xf numFmtId="43" fontId="6" fillId="10" borderId="19" xfId="68" applyFont="1" applyFill="1" applyBorder="1" applyAlignment="1" applyProtection="1">
      <alignment/>
      <protection/>
    </xf>
    <xf numFmtId="43" fontId="6" fillId="10" borderId="25" xfId="68" applyFont="1" applyFill="1" applyBorder="1" applyAlignment="1" applyProtection="1">
      <alignment/>
      <protection/>
    </xf>
    <xf numFmtId="0" fontId="6" fillId="16" borderId="0" xfId="0" applyNumberFormat="1" applyFont="1" applyFill="1" applyBorder="1" applyAlignment="1" applyProtection="1">
      <alignment/>
      <protection/>
    </xf>
    <xf numFmtId="43" fontId="6" fillId="0" borderId="25" xfId="68" applyFont="1" applyFill="1" applyBorder="1" applyAlignment="1" applyProtection="1">
      <alignment/>
      <protection/>
    </xf>
    <xf numFmtId="0" fontId="6" fillId="10" borderId="12" xfId="0" applyNumberFormat="1" applyFont="1" applyFill="1" applyBorder="1" applyAlignment="1" applyProtection="1">
      <alignment wrapText="1"/>
      <protection/>
    </xf>
    <xf numFmtId="49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3" fontId="6" fillId="37" borderId="19" xfId="68" applyFont="1" applyFill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/>
      <protection/>
    </xf>
    <xf numFmtId="43" fontId="6" fillId="33" borderId="27" xfId="68" applyFont="1" applyFill="1" applyBorder="1" applyAlignment="1" applyProtection="1">
      <alignment/>
      <protection/>
    </xf>
    <xf numFmtId="0" fontId="105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43" fontId="6" fillId="0" borderId="13" xfId="0" applyNumberFormat="1" applyFont="1" applyFill="1" applyBorder="1" applyAlignment="1" applyProtection="1">
      <alignment/>
      <protection/>
    </xf>
    <xf numFmtId="49" fontId="11" fillId="33" borderId="12" xfId="0" applyNumberFormat="1" applyFont="1" applyFill="1" applyBorder="1" applyAlignment="1" applyProtection="1">
      <alignment wrapText="1"/>
      <protection/>
    </xf>
    <xf numFmtId="49" fontId="11" fillId="33" borderId="18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/>
      <protection/>
    </xf>
    <xf numFmtId="49" fontId="11" fillId="33" borderId="16" xfId="0" applyNumberFormat="1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/>
      <protection/>
    </xf>
    <xf numFmtId="49" fontId="11" fillId="33" borderId="27" xfId="0" applyNumberFormat="1" applyFont="1" applyFill="1" applyBorder="1" applyAlignment="1" applyProtection="1">
      <alignment vertical="center"/>
      <protection/>
    </xf>
    <xf numFmtId="49" fontId="11" fillId="33" borderId="15" xfId="0" applyNumberFormat="1" applyFont="1" applyFill="1" applyBorder="1" applyAlignment="1" applyProtection="1">
      <alignment vertical="center"/>
      <protection/>
    </xf>
    <xf numFmtId="0" fontId="6" fillId="16" borderId="12" xfId="0" applyFont="1" applyFill="1" applyBorder="1" applyAlignment="1" applyProtection="1">
      <alignment wrapText="1"/>
      <protection/>
    </xf>
    <xf numFmtId="0" fontId="12" fillId="0" borderId="15" xfId="0" applyFont="1" applyFill="1" applyBorder="1" applyAlignment="1" applyProtection="1">
      <alignment horizontal="justify" vertical="top" wrapText="1"/>
      <protection/>
    </xf>
    <xf numFmtId="43" fontId="6" fillId="0" borderId="17" xfId="68" applyFont="1" applyFill="1" applyBorder="1" applyAlignment="1" applyProtection="1">
      <alignment/>
      <protection/>
    </xf>
    <xf numFmtId="0" fontId="11" fillId="33" borderId="24" xfId="0" applyNumberFormat="1" applyFont="1" applyFill="1" applyBorder="1" applyAlignment="1" applyProtection="1">
      <alignment horizontal="center" wrapText="1"/>
      <protection/>
    </xf>
    <xf numFmtId="0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43" fontId="6" fillId="10" borderId="18" xfId="68" applyFont="1" applyFill="1" applyBorder="1" applyAlignment="1" applyProtection="1">
      <alignment/>
      <protection/>
    </xf>
    <xf numFmtId="0" fontId="6" fillId="4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43" fontId="6" fillId="39" borderId="19" xfId="68" applyFon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0" fontId="11" fillId="33" borderId="17" xfId="0" applyFont="1" applyFill="1" applyBorder="1" applyAlignment="1" applyProtection="1">
      <alignment horizontal="center"/>
      <protection/>
    </xf>
    <xf numFmtId="0" fontId="11" fillId="33" borderId="27" xfId="0" applyFont="1" applyFill="1" applyBorder="1" applyAlignment="1" applyProtection="1">
      <alignment horizontal="center"/>
      <protection/>
    </xf>
    <xf numFmtId="0" fontId="6" fillId="10" borderId="11" xfId="0" applyFont="1" applyFill="1" applyBorder="1" applyAlignment="1" applyProtection="1">
      <alignment/>
      <protection/>
    </xf>
    <xf numFmtId="43" fontId="6" fillId="10" borderId="16" xfId="0" applyNumberFormat="1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indent="2"/>
      <protection/>
    </xf>
    <xf numFmtId="43" fontId="6" fillId="0" borderId="16" xfId="68" applyFont="1" applyFill="1" applyBorder="1" applyAlignment="1" applyProtection="1">
      <alignment/>
      <protection/>
    </xf>
    <xf numFmtId="43" fontId="6" fillId="0" borderId="24" xfId="68" applyFont="1" applyFill="1" applyBorder="1" applyAlignment="1" applyProtection="1">
      <alignment/>
      <protection/>
    </xf>
    <xf numFmtId="43" fontId="6" fillId="4" borderId="16" xfId="68" applyFont="1" applyFill="1" applyBorder="1" applyAlignment="1" applyProtection="1">
      <alignment/>
      <protection/>
    </xf>
    <xf numFmtId="0" fontId="6" fillId="4" borderId="19" xfId="0" applyFont="1" applyFill="1" applyBorder="1" applyAlignment="1" applyProtection="1">
      <alignment/>
      <protection/>
    </xf>
    <xf numFmtId="0" fontId="6" fillId="37" borderId="19" xfId="0" applyFont="1" applyFill="1" applyBorder="1" applyAlignment="1" applyProtection="1">
      <alignment/>
      <protection/>
    </xf>
    <xf numFmtId="43" fontId="6" fillId="4" borderId="19" xfId="68" applyFont="1" applyFill="1" applyBorder="1" applyAlignment="1" applyProtection="1">
      <alignment/>
      <protection/>
    </xf>
    <xf numFmtId="0" fontId="105" fillId="0" borderId="0" xfId="0" applyNumberFormat="1" applyFont="1" applyFill="1" applyAlignment="1" applyProtection="1">
      <alignment/>
      <protection/>
    </xf>
    <xf numFmtId="0" fontId="6" fillId="10" borderId="11" xfId="0" applyFont="1" applyFill="1" applyBorder="1" applyAlignment="1" applyProtection="1">
      <alignment/>
      <protection/>
    </xf>
    <xf numFmtId="0" fontId="6" fillId="10" borderId="16" xfId="0" applyFont="1" applyFill="1" applyBorder="1" applyAlignment="1" applyProtection="1">
      <alignment/>
      <protection/>
    </xf>
    <xf numFmtId="43" fontId="6" fillId="10" borderId="16" xfId="68" applyFont="1" applyFill="1" applyBorder="1" applyAlignment="1" applyProtection="1">
      <alignment/>
      <protection/>
    </xf>
    <xf numFmtId="43" fontId="6" fillId="10" borderId="24" xfId="68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vertical="center"/>
      <protection/>
    </xf>
    <xf numFmtId="43" fontId="11" fillId="33" borderId="19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1" fillId="39" borderId="17" xfId="0" applyNumberFormat="1" applyFont="1" applyFill="1" applyBorder="1" applyAlignment="1" applyProtection="1">
      <alignment horizontal="center"/>
      <protection locked="0"/>
    </xf>
    <xf numFmtId="0" fontId="11" fillId="39" borderId="27" xfId="0" applyFont="1" applyFill="1" applyBorder="1" applyAlignment="1" applyProtection="1">
      <alignment horizontal="center"/>
      <protection locked="0"/>
    </xf>
    <xf numFmtId="43" fontId="6" fillId="39" borderId="24" xfId="68" applyFont="1" applyFill="1" applyBorder="1" applyAlignment="1" applyProtection="1">
      <alignment/>
      <protection locked="0"/>
    </xf>
    <xf numFmtId="164" fontId="6" fillId="0" borderId="13" xfId="0" applyNumberFormat="1" applyFont="1" applyFill="1" applyBorder="1" applyAlignment="1" applyProtection="1">
      <alignment/>
      <protection/>
    </xf>
    <xf numFmtId="43" fontId="6" fillId="13" borderId="16" xfId="68" applyFont="1" applyFill="1" applyBorder="1" applyAlignment="1" applyProtection="1">
      <alignment vertical="center" wrapText="1"/>
      <protection locked="0"/>
    </xf>
    <xf numFmtId="43" fontId="6" fillId="13" borderId="24" xfId="68" applyFont="1" applyFill="1" applyBorder="1" applyAlignment="1" applyProtection="1">
      <alignment vertical="center" wrapText="1"/>
      <protection locked="0"/>
    </xf>
    <xf numFmtId="43" fontId="6" fillId="13" borderId="27" xfId="68" applyFont="1" applyFill="1" applyBorder="1" applyAlignment="1" applyProtection="1">
      <alignment vertical="center" wrapText="1"/>
      <protection locked="0"/>
    </xf>
    <xf numFmtId="43" fontId="6" fillId="13" borderId="17" xfId="68" applyFont="1" applyFill="1" applyBorder="1" applyAlignment="1" applyProtection="1">
      <alignment vertical="center" wrapText="1"/>
      <protection locked="0"/>
    </xf>
    <xf numFmtId="43" fontId="6" fillId="13" borderId="24" xfId="68" applyFont="1" applyFill="1" applyBorder="1" applyAlignment="1" applyProtection="1">
      <alignment/>
      <protection locked="0"/>
    </xf>
    <xf numFmtId="43" fontId="6" fillId="13" borderId="16" xfId="68" applyFont="1" applyFill="1" applyBorder="1" applyAlignment="1" applyProtection="1">
      <alignment/>
      <protection locked="0"/>
    </xf>
    <xf numFmtId="43" fontId="6" fillId="13" borderId="27" xfId="68" applyFont="1" applyFill="1" applyBorder="1" applyAlignment="1" applyProtection="1">
      <alignment/>
      <protection locked="0"/>
    </xf>
    <xf numFmtId="43" fontId="6" fillId="13" borderId="17" xfId="68" applyFont="1" applyFill="1" applyBorder="1" applyAlignment="1" applyProtection="1">
      <alignment/>
      <protection locked="0"/>
    </xf>
    <xf numFmtId="43" fontId="6" fillId="13" borderId="16" xfId="68" applyFont="1" applyFill="1" applyBorder="1" applyAlignment="1" applyProtection="1">
      <alignment vertical="center"/>
      <protection locked="0"/>
    </xf>
    <xf numFmtId="0" fontId="15" fillId="0" borderId="0" xfId="50" applyFont="1" applyFill="1" applyAlignment="1" applyProtection="1">
      <alignment/>
      <protection/>
    </xf>
    <xf numFmtId="0" fontId="11" fillId="0" borderId="0" xfId="50" applyFont="1" applyFill="1" applyAlignment="1" applyProtection="1">
      <alignment/>
      <protection/>
    </xf>
    <xf numFmtId="0" fontId="6" fillId="0" borderId="0" xfId="50" applyFont="1" applyFill="1" applyAlignment="1" applyProtection="1">
      <alignment/>
      <protection/>
    </xf>
    <xf numFmtId="0" fontId="6" fillId="0" borderId="0" xfId="50" applyFont="1" applyFill="1" applyAlignment="1" applyProtection="1">
      <alignment horizontal="center"/>
      <protection/>
    </xf>
    <xf numFmtId="164" fontId="6" fillId="0" borderId="0" xfId="50" applyNumberFormat="1" applyFont="1" applyFill="1" applyAlignment="1" applyProtection="1">
      <alignment horizontal="right"/>
      <protection/>
    </xf>
    <xf numFmtId="0" fontId="6" fillId="33" borderId="12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horizontal="center"/>
      <protection/>
    </xf>
    <xf numFmtId="0" fontId="6" fillId="33" borderId="26" xfId="50" applyFont="1" applyFill="1" applyBorder="1" applyAlignment="1" applyProtection="1">
      <alignment horizontal="center"/>
      <protection/>
    </xf>
    <xf numFmtId="0" fontId="6" fillId="33" borderId="15" xfId="50" applyFont="1" applyFill="1" applyBorder="1" applyAlignment="1" applyProtection="1">
      <alignment/>
      <protection/>
    </xf>
    <xf numFmtId="0" fontId="6" fillId="33" borderId="13" xfId="50" applyFont="1" applyFill="1" applyBorder="1" applyAlignment="1" applyProtection="1">
      <alignment horizontal="center"/>
      <protection/>
    </xf>
    <xf numFmtId="0" fontId="6" fillId="0" borderId="11" xfId="50" applyFont="1" applyBorder="1" applyAlignment="1" applyProtection="1">
      <alignment horizontal="left" vertical="top" wrapText="1"/>
      <protection/>
    </xf>
    <xf numFmtId="10" fontId="6" fillId="0" borderId="24" xfId="54" applyNumberFormat="1" applyFont="1" applyFill="1" applyBorder="1" applyAlignment="1" applyProtection="1">
      <alignment/>
      <protection/>
    </xf>
    <xf numFmtId="0" fontId="12" fillId="0" borderId="11" xfId="50" applyFont="1" applyBorder="1" applyAlignment="1" applyProtection="1">
      <alignment horizontal="left" vertical="top" wrapText="1"/>
      <protection/>
    </xf>
    <xf numFmtId="0" fontId="6" fillId="0" borderId="0" xfId="50" applyFont="1" applyFill="1" applyBorder="1" applyAlignment="1" applyProtection="1">
      <alignment/>
      <protection/>
    </xf>
    <xf numFmtId="0" fontId="6" fillId="0" borderId="14" xfId="50" applyFont="1" applyBorder="1" applyAlignment="1" applyProtection="1">
      <alignment horizontal="left" vertical="top" wrapText="1"/>
      <protection/>
    </xf>
    <xf numFmtId="10" fontId="6" fillId="0" borderId="25" xfId="54" applyNumberFormat="1" applyFont="1" applyFill="1" applyBorder="1" applyAlignment="1" applyProtection="1">
      <alignment/>
      <protection/>
    </xf>
    <xf numFmtId="0" fontId="6" fillId="33" borderId="0" xfId="50" applyFont="1" applyFill="1" applyBorder="1" applyAlignment="1" applyProtection="1">
      <alignment/>
      <protection/>
    </xf>
    <xf numFmtId="0" fontId="6" fillId="33" borderId="0" xfId="50" applyFont="1" applyFill="1" applyBorder="1" applyAlignment="1" applyProtection="1">
      <alignment horizontal="center"/>
      <protection/>
    </xf>
    <xf numFmtId="0" fontId="6" fillId="0" borderId="11" xfId="50" applyFont="1" applyBorder="1" applyAlignment="1" applyProtection="1">
      <alignment horizontal="left" wrapText="1"/>
      <protection/>
    </xf>
    <xf numFmtId="0" fontId="6" fillId="0" borderId="11" xfId="50" applyFont="1" applyBorder="1" applyAlignment="1" applyProtection="1">
      <alignment horizontal="justify" vertical="top" wrapText="1"/>
      <protection/>
    </xf>
    <xf numFmtId="0" fontId="12" fillId="0" borderId="11" xfId="50" applyFont="1" applyBorder="1" applyAlignment="1" applyProtection="1">
      <alignment horizontal="justify" vertical="top" wrapText="1"/>
      <protection/>
    </xf>
    <xf numFmtId="0" fontId="6" fillId="33" borderId="11" xfId="50" applyFont="1" applyFill="1" applyBorder="1" applyAlignment="1" applyProtection="1">
      <alignment/>
      <protection/>
    </xf>
    <xf numFmtId="0" fontId="6" fillId="0" borderId="12" xfId="50" applyFont="1" applyBorder="1" applyAlignment="1" applyProtection="1">
      <alignment horizontal="left" vertical="top" wrapText="1"/>
      <protection/>
    </xf>
    <xf numFmtId="10" fontId="6" fillId="0" borderId="23" xfId="54" applyNumberFormat="1" applyFont="1" applyFill="1" applyBorder="1" applyAlignment="1" applyProtection="1">
      <alignment/>
      <protection/>
    </xf>
    <xf numFmtId="0" fontId="11" fillId="0" borderId="0" xfId="50" applyFont="1" applyFill="1" applyBorder="1" applyAlignment="1" applyProtection="1">
      <alignment/>
      <protection/>
    </xf>
    <xf numFmtId="0" fontId="6" fillId="33" borderId="18" xfId="50" applyFont="1" applyFill="1" applyBorder="1" applyAlignment="1" applyProtection="1">
      <alignment horizontal="center"/>
      <protection/>
    </xf>
    <xf numFmtId="0" fontId="6" fillId="33" borderId="16" xfId="50" applyFont="1" applyFill="1" applyBorder="1" applyAlignment="1" applyProtection="1">
      <alignment horizontal="center"/>
      <protection/>
    </xf>
    <xf numFmtId="0" fontId="6" fillId="33" borderId="27" xfId="51" applyFont="1" applyFill="1" applyBorder="1" applyAlignment="1" applyProtection="1">
      <alignment horizontal="center"/>
      <protection/>
    </xf>
    <xf numFmtId="0" fontId="6" fillId="0" borderId="26" xfId="50" applyFont="1" applyBorder="1" applyAlignment="1" applyProtection="1">
      <alignment horizontal="left" vertical="top" wrapText="1"/>
      <protection/>
    </xf>
    <xf numFmtId="43" fontId="6" fillId="0" borderId="18" xfId="68" applyFont="1" applyBorder="1" applyAlignment="1" applyProtection="1">
      <alignment horizontal="left" vertical="top" wrapText="1"/>
      <protection/>
    </xf>
    <xf numFmtId="10" fontId="6" fillId="0" borderId="26" xfId="54" applyNumberFormat="1" applyFont="1" applyFill="1" applyBorder="1" applyAlignment="1" applyProtection="1">
      <alignment/>
      <protection/>
    </xf>
    <xf numFmtId="43" fontId="6" fillId="0" borderId="23" xfId="68" applyFont="1" applyBorder="1" applyAlignment="1" applyProtection="1">
      <alignment horizontal="left" vertical="top" wrapText="1"/>
      <protection/>
    </xf>
    <xf numFmtId="0" fontId="6" fillId="0" borderId="0" xfId="50" applyFont="1" applyBorder="1" applyAlignment="1" applyProtection="1">
      <alignment horizontal="left" vertical="top" wrapText="1"/>
      <protection/>
    </xf>
    <xf numFmtId="10" fontId="6" fillId="0" borderId="0" xfId="54" applyNumberFormat="1" applyFont="1" applyFill="1" applyBorder="1" applyAlignment="1" applyProtection="1">
      <alignment/>
      <protection/>
    </xf>
    <xf numFmtId="43" fontId="6" fillId="0" borderId="16" xfId="68" applyFont="1" applyBorder="1" applyAlignment="1" applyProtection="1">
      <alignment horizontal="left" vertical="top" wrapText="1"/>
      <protection/>
    </xf>
    <xf numFmtId="43" fontId="6" fillId="0" borderId="24" xfId="68" applyFont="1" applyBorder="1" applyAlignment="1" applyProtection="1">
      <alignment horizontal="left" vertical="top" wrapText="1"/>
      <protection/>
    </xf>
    <xf numFmtId="0" fontId="6" fillId="0" borderId="13" xfId="50" applyFont="1" applyBorder="1" applyAlignment="1" applyProtection="1">
      <alignment horizontal="left" vertical="top" wrapText="1"/>
      <protection/>
    </xf>
    <xf numFmtId="10" fontId="6" fillId="0" borderId="13" xfId="54" applyNumberFormat="1" applyFont="1" applyFill="1" applyBorder="1" applyAlignment="1" applyProtection="1">
      <alignment/>
      <protection/>
    </xf>
    <xf numFmtId="0" fontId="6" fillId="0" borderId="15" xfId="50" applyFont="1" applyBorder="1" applyAlignment="1" applyProtection="1">
      <alignment horizontal="left" vertical="top" wrapText="1"/>
      <protection/>
    </xf>
    <xf numFmtId="43" fontId="6" fillId="0" borderId="17" xfId="50" applyNumberFormat="1" applyFont="1" applyBorder="1" applyAlignment="1" applyProtection="1">
      <alignment horizontal="left" vertical="top" wrapText="1"/>
      <protection/>
    </xf>
    <xf numFmtId="43" fontId="6" fillId="0" borderId="27" xfId="50" applyNumberFormat="1" applyFont="1" applyBorder="1" applyAlignment="1" applyProtection="1">
      <alignment horizontal="left" vertical="top" wrapText="1"/>
      <protection/>
    </xf>
    <xf numFmtId="0" fontId="6" fillId="0" borderId="26" xfId="50" applyFont="1" applyBorder="1" applyAlignment="1" applyProtection="1">
      <alignment vertical="top" wrapText="1"/>
      <protection/>
    </xf>
    <xf numFmtId="0" fontId="6" fillId="0" borderId="12" xfId="50" applyFont="1" applyBorder="1" applyAlignment="1" applyProtection="1">
      <alignment vertical="top" wrapText="1"/>
      <protection/>
    </xf>
    <xf numFmtId="0" fontId="6" fillId="0" borderId="0" xfId="50" applyFont="1" applyBorder="1" applyAlignment="1" applyProtection="1">
      <alignment vertical="top" wrapText="1"/>
      <protection/>
    </xf>
    <xf numFmtId="0" fontId="6" fillId="0" borderId="11" xfId="50" applyFont="1" applyBorder="1" applyAlignment="1" applyProtection="1">
      <alignment vertical="top" wrapText="1"/>
      <protection/>
    </xf>
    <xf numFmtId="0" fontId="6" fillId="0" borderId="13" xfId="50" applyFont="1" applyBorder="1" applyAlignment="1" applyProtection="1">
      <alignment vertical="top" wrapText="1"/>
      <protection/>
    </xf>
    <xf numFmtId="0" fontId="6" fillId="0" borderId="15" xfId="50" applyFont="1" applyBorder="1" applyAlignment="1" applyProtection="1">
      <alignment vertical="top" wrapText="1"/>
      <protection/>
    </xf>
    <xf numFmtId="0" fontId="6" fillId="0" borderId="10" xfId="50" applyFont="1" applyBorder="1" applyAlignment="1" applyProtection="1">
      <alignment vertical="top" wrapText="1"/>
      <protection/>
    </xf>
    <xf numFmtId="0" fontId="6" fillId="0" borderId="14" xfId="50" applyFont="1" applyBorder="1" applyAlignment="1" applyProtection="1">
      <alignment vertical="top" wrapText="1"/>
      <protection/>
    </xf>
    <xf numFmtId="0" fontId="6" fillId="0" borderId="0" xfId="50" applyFont="1" applyFill="1" applyBorder="1" applyAlignment="1" applyProtection="1">
      <alignment vertical="top"/>
      <protection/>
    </xf>
    <xf numFmtId="0" fontId="6" fillId="0" borderId="11" xfId="50" applyFont="1" applyFill="1" applyBorder="1" applyAlignment="1" applyProtection="1">
      <alignment vertical="top"/>
      <protection/>
    </xf>
    <xf numFmtId="0" fontId="6" fillId="0" borderId="0" xfId="50" applyFont="1" applyBorder="1" applyAlignment="1" applyProtection="1">
      <alignment vertical="top"/>
      <protection/>
    </xf>
    <xf numFmtId="0" fontId="6" fillId="0" borderId="11" xfId="50" applyFont="1" applyBorder="1" applyAlignment="1" applyProtection="1">
      <alignment vertical="top"/>
      <protection/>
    </xf>
    <xf numFmtId="0" fontId="6" fillId="0" borderId="14" xfId="50" applyFont="1" applyFill="1" applyBorder="1" applyAlignment="1" applyProtection="1">
      <alignment horizontal="left" vertical="center" wrapText="1"/>
      <protection/>
    </xf>
    <xf numFmtId="10" fontId="6" fillId="0" borderId="25" xfId="54" applyNumberFormat="1" applyFont="1" applyFill="1" applyBorder="1" applyAlignment="1" applyProtection="1">
      <alignment horizontal="center" vertical="top" wrapText="1"/>
      <protection/>
    </xf>
    <xf numFmtId="0" fontId="6" fillId="33" borderId="17" xfId="50" applyFont="1" applyFill="1" applyBorder="1" applyAlignment="1" applyProtection="1">
      <alignment horizontal="center"/>
      <protection/>
    </xf>
    <xf numFmtId="43" fontId="6" fillId="0" borderId="18" xfId="50" applyNumberFormat="1" applyFont="1" applyFill="1" applyBorder="1" applyAlignment="1" applyProtection="1">
      <alignment horizontal="left" vertical="top" wrapText="1"/>
      <protection/>
    </xf>
    <xf numFmtId="43" fontId="6" fillId="0" borderId="23" xfId="50" applyNumberFormat="1" applyFont="1" applyFill="1" applyBorder="1" applyAlignment="1" applyProtection="1">
      <alignment horizontal="left" vertical="top" wrapText="1"/>
      <protection/>
    </xf>
    <xf numFmtId="43" fontId="6" fillId="0" borderId="12" xfId="50" applyNumberFormat="1" applyFont="1" applyFill="1" applyBorder="1" applyAlignment="1" applyProtection="1">
      <alignment horizontal="left" vertical="top" wrapText="1"/>
      <protection/>
    </xf>
    <xf numFmtId="43" fontId="6" fillId="0" borderId="16" xfId="68" applyFont="1" applyFill="1" applyBorder="1" applyAlignment="1" applyProtection="1">
      <alignment horizontal="left" vertical="top" wrapText="1"/>
      <protection/>
    </xf>
    <xf numFmtId="43" fontId="6" fillId="0" borderId="24" xfId="68" applyFont="1" applyFill="1" applyBorder="1" applyAlignment="1" applyProtection="1">
      <alignment horizontal="left" vertical="top" wrapText="1"/>
      <protection/>
    </xf>
    <xf numFmtId="43" fontId="6" fillId="0" borderId="11" xfId="68" applyFont="1" applyFill="1" applyBorder="1" applyAlignment="1" applyProtection="1">
      <alignment horizontal="left" vertical="top" wrapText="1"/>
      <protection/>
    </xf>
    <xf numFmtId="43" fontId="6" fillId="0" borderId="14" xfId="50" applyNumberFormat="1" applyFont="1" applyFill="1" applyBorder="1" applyAlignment="1" applyProtection="1">
      <alignment horizontal="left" vertical="top" wrapText="1"/>
      <protection/>
    </xf>
    <xf numFmtId="43" fontId="6" fillId="0" borderId="25" xfId="50" applyNumberFormat="1" applyFont="1" applyFill="1" applyBorder="1" applyAlignment="1" applyProtection="1">
      <alignment horizontal="left" vertical="top" wrapText="1"/>
      <protection/>
    </xf>
    <xf numFmtId="0" fontId="6" fillId="0" borderId="26" xfId="50" applyFont="1" applyBorder="1" applyAlignment="1" applyProtection="1">
      <alignment vertical="center" wrapText="1"/>
      <protection/>
    </xf>
    <xf numFmtId="0" fontId="6" fillId="0" borderId="0" xfId="50" applyFont="1" applyFill="1" applyBorder="1" applyAlignment="1" applyProtection="1">
      <alignment horizontal="left" vertical="center" wrapText="1"/>
      <protection/>
    </xf>
    <xf numFmtId="0" fontId="6" fillId="0" borderId="0" xfId="50" applyFont="1" applyBorder="1" applyAlignment="1" applyProtection="1">
      <alignment vertical="center" wrapText="1"/>
      <protection/>
    </xf>
    <xf numFmtId="0" fontId="6" fillId="0" borderId="11" xfId="50" applyFont="1" applyBorder="1" applyAlignment="1" applyProtection="1">
      <alignment vertical="center" wrapText="1"/>
      <protection/>
    </xf>
    <xf numFmtId="0" fontId="6" fillId="0" borderId="0" xfId="50" applyFont="1" applyBorder="1" applyAlignment="1" applyProtection="1">
      <alignment horizontal="left" wrapText="1"/>
      <protection/>
    </xf>
    <xf numFmtId="0" fontId="6" fillId="0" borderId="15" xfId="50" applyFont="1" applyBorder="1" applyAlignment="1" applyProtection="1">
      <alignment horizontal="left" wrapText="1"/>
      <protection/>
    </xf>
    <xf numFmtId="43" fontId="6" fillId="0" borderId="14" xfId="50" applyNumberFormat="1" applyFont="1" applyFill="1" applyBorder="1" applyAlignment="1" applyProtection="1">
      <alignment/>
      <protection/>
    </xf>
    <xf numFmtId="43" fontId="6" fillId="0" borderId="25" xfId="50" applyNumberFormat="1" applyFont="1" applyFill="1" applyBorder="1" applyAlignment="1" applyProtection="1">
      <alignment/>
      <protection/>
    </xf>
    <xf numFmtId="0" fontId="0" fillId="0" borderId="0" xfId="50" applyFont="1" applyFill="1" applyBorder="1" applyAlignment="1" applyProtection="1">
      <alignment/>
      <protection/>
    </xf>
    <xf numFmtId="43" fontId="6" fillId="13" borderId="16" xfId="68" applyNumberFormat="1" applyFont="1" applyFill="1" applyBorder="1" applyAlignment="1" applyProtection="1">
      <alignment horizontal="left" vertical="top" wrapText="1"/>
      <protection locked="0"/>
    </xf>
    <xf numFmtId="43" fontId="6" fillId="13" borderId="24" xfId="68" applyFont="1" applyFill="1" applyBorder="1" applyAlignment="1" applyProtection="1">
      <alignment horizontal="left" vertical="top" wrapText="1"/>
      <protection locked="0"/>
    </xf>
    <xf numFmtId="43" fontId="6" fillId="13" borderId="27" xfId="68" applyFont="1" applyFill="1" applyBorder="1" applyAlignment="1" applyProtection="1">
      <alignment horizontal="left" vertical="top" wrapText="1"/>
      <protection locked="0"/>
    </xf>
    <xf numFmtId="43" fontId="6" fillId="13" borderId="17" xfId="68" applyNumberFormat="1" applyFont="1" applyFill="1" applyBorder="1" applyAlignment="1" applyProtection="1">
      <alignment horizontal="left" vertical="top" wrapText="1"/>
      <protection locked="0"/>
    </xf>
    <xf numFmtId="43" fontId="6" fillId="13" borderId="16" xfId="68" applyFont="1" applyFill="1" applyBorder="1" applyAlignment="1" applyProtection="1">
      <alignment horizontal="left" vertical="top" wrapText="1"/>
      <protection locked="0"/>
    </xf>
    <xf numFmtId="43" fontId="6" fillId="13" borderId="11" xfId="68" applyFont="1" applyFill="1" applyBorder="1" applyAlignment="1" applyProtection="1">
      <alignment horizontal="left" vertical="top" wrapText="1"/>
      <protection locked="0"/>
    </xf>
    <xf numFmtId="43" fontId="6" fillId="13" borderId="16" xfId="68" applyFont="1" applyFill="1" applyBorder="1" applyAlignment="1" applyProtection="1">
      <alignment horizontal="center"/>
      <protection locked="0"/>
    </xf>
    <xf numFmtId="43" fontId="6" fillId="13" borderId="11" xfId="68" applyFont="1" applyFill="1" applyBorder="1" applyAlignment="1" applyProtection="1">
      <alignment/>
      <protection locked="0"/>
    </xf>
    <xf numFmtId="43" fontId="6" fillId="13" borderId="23" xfId="68" applyFont="1" applyFill="1" applyBorder="1" applyAlignment="1" applyProtection="1">
      <alignment/>
      <protection locked="0"/>
    </xf>
    <xf numFmtId="43" fontId="20" fillId="0" borderId="24" xfId="68" applyFont="1" applyFill="1" applyBorder="1" applyAlignment="1" applyProtection="1">
      <alignment horizontal="center"/>
      <protection/>
    </xf>
    <xf numFmtId="43" fontId="20" fillId="0" borderId="23" xfId="68" applyFont="1" applyFill="1" applyBorder="1" applyAlignment="1" applyProtection="1">
      <alignment horizontal="center"/>
      <protection/>
    </xf>
    <xf numFmtId="0" fontId="0" fillId="0" borderId="0" xfId="50" applyFont="1" applyFill="1" applyProtection="1">
      <alignment/>
      <protection/>
    </xf>
    <xf numFmtId="49" fontId="6" fillId="0" borderId="0" xfId="50" applyNumberFormat="1" applyFont="1" applyFill="1" applyAlignment="1" applyProtection="1">
      <alignment/>
      <protection/>
    </xf>
    <xf numFmtId="49" fontId="6" fillId="0" borderId="0" xfId="50" applyNumberFormat="1" applyFont="1" applyFill="1" applyBorder="1" applyAlignment="1" applyProtection="1">
      <alignment/>
      <protection/>
    </xf>
    <xf numFmtId="0" fontId="0" fillId="0" borderId="0" xfId="50" applyFont="1" applyFill="1" applyBorder="1" applyProtection="1">
      <alignment/>
      <protection/>
    </xf>
    <xf numFmtId="0" fontId="0" fillId="0" borderId="13" xfId="50" applyFont="1" applyFill="1" applyBorder="1" applyProtection="1">
      <alignment/>
      <protection/>
    </xf>
    <xf numFmtId="0" fontId="11" fillId="0" borderId="0" xfId="50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horizontal="center"/>
      <protection/>
    </xf>
    <xf numFmtId="0" fontId="23" fillId="0" borderId="0" xfId="51" applyFont="1" applyFill="1" applyBorder="1" applyAlignment="1" applyProtection="1">
      <alignment horizontal="center" wrapText="1"/>
      <protection/>
    </xf>
    <xf numFmtId="0" fontId="23" fillId="0" borderId="0" xfId="50" applyFont="1" applyFill="1" applyBorder="1" applyAlignment="1" applyProtection="1">
      <alignment/>
      <protection/>
    </xf>
    <xf numFmtId="0" fontId="6" fillId="33" borderId="17" xfId="50" applyFont="1" applyFill="1" applyBorder="1" applyAlignment="1" applyProtection="1">
      <alignment horizontal="center" wrapText="1"/>
      <protection/>
    </xf>
    <xf numFmtId="0" fontId="6" fillId="0" borderId="11" xfId="50" applyFont="1" applyFill="1" applyBorder="1" applyAlignment="1" applyProtection="1">
      <alignment horizontal="left" wrapText="1"/>
      <protection/>
    </xf>
    <xf numFmtId="43" fontId="6" fillId="0" borderId="16" xfId="50" applyNumberFormat="1" applyFont="1" applyFill="1" applyBorder="1" applyAlignment="1" applyProtection="1">
      <alignment/>
      <protection/>
    </xf>
    <xf numFmtId="43" fontId="6" fillId="0" borderId="23" xfId="50" applyNumberFormat="1" applyFont="1" applyFill="1" applyBorder="1" applyAlignment="1" applyProtection="1">
      <alignment/>
      <protection/>
    </xf>
    <xf numFmtId="0" fontId="6" fillId="0" borderId="11" xfId="50" applyFont="1" applyFill="1" applyBorder="1" applyAlignment="1" applyProtection="1">
      <alignment horizontal="left" vertical="top" wrapText="1"/>
      <protection/>
    </xf>
    <xf numFmtId="43" fontId="6" fillId="0" borderId="11" xfId="68" applyFont="1" applyFill="1" applyBorder="1" applyAlignment="1" applyProtection="1">
      <alignment/>
      <protection/>
    </xf>
    <xf numFmtId="0" fontId="6" fillId="0" borderId="14" xfId="50" applyFont="1" applyFill="1" applyBorder="1" applyAlignment="1" applyProtection="1">
      <alignment horizontal="left" wrapText="1"/>
      <protection/>
    </xf>
    <xf numFmtId="43" fontId="0" fillId="0" borderId="19" xfId="50" applyNumberFormat="1" applyFont="1" applyFill="1" applyBorder="1" applyProtection="1">
      <alignment/>
      <protection/>
    </xf>
    <xf numFmtId="43" fontId="0" fillId="0" borderId="25" xfId="50" applyNumberFormat="1" applyFont="1" applyFill="1" applyBorder="1" applyProtection="1">
      <alignment/>
      <protection/>
    </xf>
    <xf numFmtId="0" fontId="0" fillId="0" borderId="0" xfId="50" applyFont="1" applyFill="1" applyAlignment="1" applyProtection="1">
      <alignment horizontal="left"/>
      <protection/>
    </xf>
    <xf numFmtId="0" fontId="6" fillId="33" borderId="15" xfId="50" applyFont="1" applyFill="1" applyBorder="1" applyAlignment="1" applyProtection="1">
      <alignment vertical="center" wrapText="1"/>
      <protection/>
    </xf>
    <xf numFmtId="0" fontId="6" fillId="33" borderId="12" xfId="50" applyFont="1" applyFill="1" applyBorder="1" applyAlignment="1" applyProtection="1">
      <alignment horizontal="center" wrapText="1"/>
      <protection/>
    </xf>
    <xf numFmtId="0" fontId="6" fillId="13" borderId="11" xfId="50" applyFont="1" applyFill="1" applyBorder="1" applyAlignment="1" applyProtection="1">
      <alignment horizontal="center" vertical="center" wrapText="1"/>
      <protection locked="0"/>
    </xf>
    <xf numFmtId="0" fontId="15" fillId="0" borderId="0" xfId="50" applyFont="1" applyBorder="1" applyAlignment="1" applyProtection="1">
      <alignment wrapText="1"/>
      <protection/>
    </xf>
    <xf numFmtId="0" fontId="15" fillId="0" borderId="0" xfId="50" applyFont="1" applyFill="1" applyBorder="1" applyAlignment="1" applyProtection="1">
      <alignment/>
      <protection/>
    </xf>
    <xf numFmtId="0" fontId="6" fillId="0" borderId="0" xfId="50" applyFont="1" applyBorder="1" applyAlignment="1" applyProtection="1">
      <alignment horizontal="right" vertical="top" wrapText="1"/>
      <protection/>
    </xf>
    <xf numFmtId="0" fontId="6" fillId="0" borderId="0" xfId="50" applyFont="1" applyAlignment="1" applyProtection="1">
      <alignment wrapText="1"/>
      <protection/>
    </xf>
    <xf numFmtId="0" fontId="6" fillId="0" borderId="0" xfId="50" applyFont="1" applyAlignment="1" applyProtection="1">
      <alignment horizontal="right" vertical="top" wrapText="1"/>
      <protection/>
    </xf>
    <xf numFmtId="164" fontId="6" fillId="0" borderId="0" xfId="50" applyNumberFormat="1" applyFont="1" applyBorder="1" applyAlignment="1" applyProtection="1">
      <alignment horizontal="right" vertical="top" wrapText="1"/>
      <protection/>
    </xf>
    <xf numFmtId="0" fontId="11" fillId="33" borderId="24" xfId="50" applyFont="1" applyFill="1" applyBorder="1" applyAlignment="1" applyProtection="1">
      <alignment horizontal="center" vertical="top" wrapText="1"/>
      <protection/>
    </xf>
    <xf numFmtId="0" fontId="6" fillId="0" borderId="19" xfId="50" applyFont="1" applyBorder="1" applyAlignment="1" applyProtection="1">
      <alignment horizontal="left" wrapText="1"/>
      <protection/>
    </xf>
    <xf numFmtId="43" fontId="6" fillId="0" borderId="25" xfId="68" applyFont="1" applyBorder="1" applyAlignment="1" applyProtection="1">
      <alignment horizontal="right" vertical="top" wrapText="1"/>
      <protection/>
    </xf>
    <xf numFmtId="0" fontId="6" fillId="0" borderId="0" xfId="50" applyFont="1" applyBorder="1" applyAlignment="1" applyProtection="1">
      <alignment wrapText="1"/>
      <protection/>
    </xf>
    <xf numFmtId="0" fontId="11" fillId="33" borderId="27" xfId="50" applyFont="1" applyFill="1" applyBorder="1" applyAlignment="1" applyProtection="1">
      <alignment horizontal="center" vertical="top" wrapText="1"/>
      <protection/>
    </xf>
    <xf numFmtId="0" fontId="6" fillId="0" borderId="18" xfId="50" applyFont="1" applyBorder="1" applyAlignment="1" applyProtection="1">
      <alignment horizontal="left" wrapText="1"/>
      <protection/>
    </xf>
    <xf numFmtId="43" fontId="6" fillId="0" borderId="23" xfId="68" applyFont="1" applyBorder="1" applyAlignment="1" applyProtection="1">
      <alignment horizontal="right" vertical="top" wrapText="1"/>
      <protection/>
    </xf>
    <xf numFmtId="0" fontId="6" fillId="0" borderId="16" xfId="50" applyFont="1" applyBorder="1" applyAlignment="1" applyProtection="1">
      <alignment horizontal="left" wrapText="1"/>
      <protection/>
    </xf>
    <xf numFmtId="43" fontId="6" fillId="0" borderId="24" xfId="68" applyFont="1" applyBorder="1" applyAlignment="1" applyProtection="1">
      <alignment horizontal="right" vertical="top" wrapText="1"/>
      <protection/>
    </xf>
    <xf numFmtId="0" fontId="14" fillId="33" borderId="18" xfId="50" applyFont="1" applyFill="1" applyBorder="1" applyAlignment="1" applyProtection="1">
      <alignment horizontal="left" wrapText="1"/>
      <protection/>
    </xf>
    <xf numFmtId="0" fontId="14" fillId="33" borderId="17" xfId="50" applyFont="1" applyFill="1" applyBorder="1" applyAlignment="1" applyProtection="1">
      <alignment horizontal="left" wrapText="1"/>
      <protection/>
    </xf>
    <xf numFmtId="0" fontId="11" fillId="33" borderId="23" xfId="50" applyFont="1" applyFill="1" applyBorder="1" applyAlignment="1" applyProtection="1">
      <alignment horizontal="center" vertical="center" wrapText="1"/>
      <protection/>
    </xf>
    <xf numFmtId="43" fontId="3" fillId="13" borderId="18" xfId="68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/>
      <protection/>
    </xf>
    <xf numFmtId="43" fontId="3" fillId="0" borderId="24" xfId="68" applyFont="1" applyFill="1" applyBorder="1" applyAlignment="1" applyProtection="1">
      <alignment horizontal="center"/>
      <protection/>
    </xf>
    <xf numFmtId="43" fontId="3" fillId="0" borderId="16" xfId="68" applyFont="1" applyFill="1" applyBorder="1" applyAlignment="1" applyProtection="1">
      <alignment/>
      <protection/>
    </xf>
    <xf numFmtId="0" fontId="13" fillId="0" borderId="0" xfId="50" applyNumberFormat="1" applyFont="1" applyFill="1" applyAlignment="1" applyProtection="1">
      <alignment/>
      <protection/>
    </xf>
    <xf numFmtId="0" fontId="3" fillId="0" borderId="0" xfId="50" applyFont="1" applyFill="1" applyAlignment="1" applyProtection="1">
      <alignment/>
      <protection/>
    </xf>
    <xf numFmtId="0" fontId="3" fillId="0" borderId="0" xfId="50" applyFont="1" applyFill="1" applyBorder="1" applyAlignment="1" applyProtection="1">
      <alignment/>
      <protection/>
    </xf>
    <xf numFmtId="0" fontId="3" fillId="0" borderId="0" xfId="50" applyFont="1" applyFill="1" applyAlignment="1" applyProtection="1">
      <alignment horizontal="left"/>
      <protection/>
    </xf>
    <xf numFmtId="0" fontId="2" fillId="0" borderId="0" xfId="50" applyFont="1" applyFill="1" applyAlignment="1" applyProtection="1">
      <alignment horizontal="left"/>
      <protection/>
    </xf>
    <xf numFmtId="0" fontId="3" fillId="0" borderId="0" xfId="50" applyFont="1" applyFill="1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33" borderId="18" xfId="50" applyFont="1" applyFill="1" applyBorder="1" applyAlignment="1" applyProtection="1">
      <alignment horizontal="center"/>
      <protection/>
    </xf>
    <xf numFmtId="0" fontId="2" fillId="33" borderId="17" xfId="50" applyFont="1" applyFill="1" applyBorder="1" applyAlignment="1" applyProtection="1">
      <alignment horizontal="center"/>
      <protection/>
    </xf>
    <xf numFmtId="0" fontId="3" fillId="0" borderId="12" xfId="50" applyFont="1" applyFill="1" applyBorder="1" applyAlignment="1" applyProtection="1">
      <alignment/>
      <protection/>
    </xf>
    <xf numFmtId="0" fontId="3" fillId="0" borderId="11" xfId="50" applyFont="1" applyFill="1" applyBorder="1" applyAlignment="1" applyProtection="1">
      <alignment/>
      <protection/>
    </xf>
    <xf numFmtId="0" fontId="3" fillId="0" borderId="10" xfId="50" applyFont="1" applyFill="1" applyBorder="1" applyAlignment="1" applyProtection="1">
      <alignment horizontal="left" indent="1"/>
      <protection/>
    </xf>
    <xf numFmtId="37" fontId="3" fillId="0" borderId="10" xfId="50" applyNumberFormat="1" applyFont="1" applyFill="1" applyBorder="1" applyAlignment="1" applyProtection="1">
      <alignment horizontal="center"/>
      <protection/>
    </xf>
    <xf numFmtId="0" fontId="2" fillId="33" borderId="12" xfId="50" applyFont="1" applyFill="1" applyBorder="1" applyAlignment="1" applyProtection="1">
      <alignment horizontal="center" vertical="center" wrapText="1"/>
      <protection/>
    </xf>
    <xf numFmtId="37" fontId="2" fillId="33" borderId="23" xfId="50" applyNumberFormat="1" applyFont="1" applyFill="1" applyBorder="1" applyAlignment="1" applyProtection="1">
      <alignment horizontal="center"/>
      <protection/>
    </xf>
    <xf numFmtId="0" fontId="2" fillId="33" borderId="18" xfId="50" applyFont="1" applyFill="1" applyBorder="1" applyAlignment="1" applyProtection="1">
      <alignment horizontal="center" vertical="top" wrapText="1"/>
      <protection/>
    </xf>
    <xf numFmtId="37" fontId="2" fillId="33" borderId="18" xfId="50" applyNumberFormat="1" applyFont="1" applyFill="1" applyBorder="1" applyAlignment="1" applyProtection="1">
      <alignment horizontal="center"/>
      <protection/>
    </xf>
    <xf numFmtId="37" fontId="2" fillId="33" borderId="18" xfId="50" applyNumberFormat="1" applyFont="1" applyFill="1" applyBorder="1" applyAlignment="1" applyProtection="1">
      <alignment horizontal="center" vertical="top" wrapText="1"/>
      <protection/>
    </xf>
    <xf numFmtId="37" fontId="2" fillId="33" borderId="12" xfId="50" applyNumberFormat="1" applyFont="1" applyFill="1" applyBorder="1" applyAlignment="1" applyProtection="1">
      <alignment horizontal="center"/>
      <protection/>
    </xf>
    <xf numFmtId="0" fontId="2" fillId="33" borderId="23" xfId="50" applyFont="1" applyFill="1" applyBorder="1" applyAlignment="1" applyProtection="1">
      <alignment horizontal="center"/>
      <protection/>
    </xf>
    <xf numFmtId="0" fontId="2" fillId="33" borderId="11" xfId="50" applyFont="1" applyFill="1" applyBorder="1" applyAlignment="1" applyProtection="1">
      <alignment horizontal="center" vertical="center" wrapText="1"/>
      <protection/>
    </xf>
    <xf numFmtId="37" fontId="2" fillId="33" borderId="24" xfId="50" applyNumberFormat="1" applyFont="1" applyFill="1" applyBorder="1" applyAlignment="1" applyProtection="1">
      <alignment horizontal="center"/>
      <protection/>
    </xf>
    <xf numFmtId="0" fontId="2" fillId="33" borderId="16" xfId="50" applyFont="1" applyFill="1" applyBorder="1" applyAlignment="1" applyProtection="1">
      <alignment horizontal="center" vertical="top" wrapText="1"/>
      <protection/>
    </xf>
    <xf numFmtId="37" fontId="2" fillId="33" borderId="16" xfId="50" applyNumberFormat="1" applyFont="1" applyFill="1" applyBorder="1" applyAlignment="1" applyProtection="1">
      <alignment horizontal="center"/>
      <protection/>
    </xf>
    <xf numFmtId="37" fontId="2" fillId="33" borderId="16" xfId="50" applyNumberFormat="1" applyFont="1" applyFill="1" applyBorder="1" applyAlignment="1" applyProtection="1">
      <alignment horizontal="center" vertical="top" wrapText="1"/>
      <protection/>
    </xf>
    <xf numFmtId="37" fontId="2" fillId="33" borderId="0" xfId="50" applyNumberFormat="1" applyFont="1" applyFill="1" applyBorder="1" applyAlignment="1" applyProtection="1">
      <alignment horizontal="center"/>
      <protection/>
    </xf>
    <xf numFmtId="0" fontId="2" fillId="33" borderId="24" xfId="50" applyFont="1" applyFill="1" applyBorder="1" applyAlignment="1" applyProtection="1">
      <alignment horizontal="center"/>
      <protection/>
    </xf>
    <xf numFmtId="0" fontId="2" fillId="33" borderId="16" xfId="50" applyFont="1" applyFill="1" applyBorder="1" applyAlignment="1" applyProtection="1">
      <alignment horizontal="center"/>
      <protection/>
    </xf>
    <xf numFmtId="49" fontId="9" fillId="33" borderId="0" xfId="50" applyNumberFormat="1" applyFont="1" applyFill="1" applyBorder="1" applyAlignment="1" applyProtection="1">
      <alignment horizontal="center"/>
      <protection/>
    </xf>
    <xf numFmtId="0" fontId="6" fillId="33" borderId="16" xfId="50" applyFont="1" applyFill="1" applyBorder="1" applyAlignment="1" applyProtection="1">
      <alignment horizontal="center" vertical="top"/>
      <protection/>
    </xf>
    <xf numFmtId="0" fontId="0" fillId="33" borderId="16" xfId="0" applyFill="1" applyBorder="1" applyAlignment="1" applyProtection="1">
      <alignment vertical="top" wrapText="1"/>
      <protection/>
    </xf>
    <xf numFmtId="37" fontId="2" fillId="33" borderId="11" xfId="50" applyNumberFormat="1" applyFont="1" applyFill="1" applyBorder="1" applyAlignment="1" applyProtection="1">
      <alignment horizontal="center"/>
      <protection/>
    </xf>
    <xf numFmtId="0" fontId="2" fillId="33" borderId="15" xfId="50" applyFont="1" applyFill="1" applyBorder="1" applyAlignment="1" applyProtection="1">
      <alignment horizontal="center" vertical="center" wrapText="1"/>
      <protection/>
    </xf>
    <xf numFmtId="37" fontId="2" fillId="33" borderId="27" xfId="50" applyNumberFormat="1" applyFont="1" applyFill="1" applyBorder="1" applyAlignment="1" applyProtection="1">
      <alignment horizontal="center"/>
      <protection/>
    </xf>
    <xf numFmtId="0" fontId="11" fillId="33" borderId="17" xfId="50" applyFont="1" applyFill="1" applyBorder="1" applyAlignment="1" applyProtection="1">
      <alignment horizontal="center" vertical="top" wrapText="1"/>
      <protection/>
    </xf>
    <xf numFmtId="37" fontId="2" fillId="33" borderId="17" xfId="50" applyNumberFormat="1" applyFont="1" applyFill="1" applyBorder="1" applyAlignment="1" applyProtection="1">
      <alignment horizontal="center"/>
      <protection/>
    </xf>
    <xf numFmtId="0" fontId="2" fillId="33" borderId="27" xfId="50" applyFont="1" applyFill="1" applyBorder="1" applyAlignment="1" applyProtection="1">
      <alignment horizontal="center"/>
      <protection/>
    </xf>
    <xf numFmtId="43" fontId="3" fillId="0" borderId="0" xfId="68" applyFont="1" applyFill="1" applyBorder="1" applyAlignment="1" applyProtection="1">
      <alignment horizontal="left" vertical="center" wrapText="1"/>
      <protection/>
    </xf>
    <xf numFmtId="43" fontId="3" fillId="0" borderId="18" xfId="68" applyFont="1" applyFill="1" applyBorder="1" applyAlignment="1" applyProtection="1">
      <alignment horizontal="center"/>
      <protection/>
    </xf>
    <xf numFmtId="43" fontId="3" fillId="0" borderId="0" xfId="68" applyFont="1" applyFill="1" applyBorder="1" applyAlignment="1" applyProtection="1">
      <alignment/>
      <protection/>
    </xf>
    <xf numFmtId="43" fontId="3" fillId="0" borderId="24" xfId="68" applyFont="1" applyFill="1" applyBorder="1" applyAlignment="1" applyProtection="1">
      <alignment/>
      <protection/>
    </xf>
    <xf numFmtId="43" fontId="3" fillId="0" borderId="16" xfId="68" applyFont="1" applyFill="1" applyBorder="1" applyAlignment="1" applyProtection="1">
      <alignment horizontal="center"/>
      <protection/>
    </xf>
    <xf numFmtId="43" fontId="3" fillId="0" borderId="17" xfId="68" applyFont="1" applyFill="1" applyBorder="1" applyAlignment="1" applyProtection="1">
      <alignment horizontal="center"/>
      <protection/>
    </xf>
    <xf numFmtId="49" fontId="3" fillId="0" borderId="10" xfId="50" applyNumberFormat="1" applyFont="1" applyFill="1" applyBorder="1" applyAlignment="1" applyProtection="1">
      <alignment horizontal="left" indent="1"/>
      <protection/>
    </xf>
    <xf numFmtId="37" fontId="3" fillId="0" borderId="26" xfId="50" applyNumberFormat="1" applyFont="1" applyFill="1" applyBorder="1" applyAlignment="1" applyProtection="1">
      <alignment/>
      <protection/>
    </xf>
    <xf numFmtId="37" fontId="3" fillId="0" borderId="10" xfId="50" applyNumberFormat="1" applyFont="1" applyFill="1" applyBorder="1" applyAlignment="1" applyProtection="1">
      <alignment/>
      <protection/>
    </xf>
    <xf numFmtId="0" fontId="2" fillId="33" borderId="18" xfId="50" applyNumberFormat="1" applyFont="1" applyFill="1" applyBorder="1" applyAlignment="1" applyProtection="1">
      <alignment horizontal="center"/>
      <protection/>
    </xf>
    <xf numFmtId="37" fontId="2" fillId="33" borderId="13" xfId="50" applyNumberFormat="1" applyFont="1" applyFill="1" applyBorder="1" applyAlignment="1" applyProtection="1">
      <alignment horizontal="center"/>
      <protection/>
    </xf>
    <xf numFmtId="49" fontId="3" fillId="0" borderId="15" xfId="50" applyNumberFormat="1" applyFont="1" applyFill="1" applyBorder="1" applyAlignment="1" applyProtection="1">
      <alignment/>
      <protection/>
    </xf>
    <xf numFmtId="43" fontId="3" fillId="0" borderId="17" xfId="68" applyFont="1" applyFill="1" applyBorder="1" applyAlignment="1" applyProtection="1">
      <alignment/>
      <protection/>
    </xf>
    <xf numFmtId="43" fontId="3" fillId="13" borderId="24" xfId="68" applyFont="1" applyFill="1" applyBorder="1" applyAlignment="1" applyProtection="1">
      <alignment/>
      <protection locked="0"/>
    </xf>
    <xf numFmtId="0" fontId="106" fillId="36" borderId="0" xfId="0" applyFont="1" applyFill="1" applyBorder="1" applyAlignment="1" applyProtection="1">
      <alignment horizontal="left" wrapText="1"/>
      <protection locked="0"/>
    </xf>
    <xf numFmtId="0" fontId="106" fillId="36" borderId="11" xfId="0" applyFont="1" applyFill="1" applyBorder="1" applyAlignment="1" applyProtection="1">
      <alignment horizontal="left" wrapText="1"/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0" fontId="106" fillId="36" borderId="26" xfId="0" applyFont="1" applyFill="1" applyBorder="1" applyAlignment="1" applyProtection="1">
      <alignment horizontal="left" vertical="center" wrapText="1"/>
      <protection locked="0"/>
    </xf>
    <xf numFmtId="0" fontId="106" fillId="36" borderId="0" xfId="0" applyFont="1" applyFill="1" applyBorder="1" applyAlignment="1" applyProtection="1">
      <alignment horizontal="left" vertical="center" wrapText="1"/>
      <protection locked="0"/>
    </xf>
    <xf numFmtId="43" fontId="20" fillId="13" borderId="16" xfId="68" applyFont="1" applyFill="1" applyBorder="1" applyAlignment="1" applyProtection="1">
      <alignment wrapText="1"/>
      <protection locked="0"/>
    </xf>
    <xf numFmtId="43" fontId="20" fillId="13" borderId="24" xfId="68" applyFont="1" applyFill="1" applyBorder="1" applyAlignment="1" applyProtection="1">
      <alignment/>
      <protection locked="0"/>
    </xf>
    <xf numFmtId="43" fontId="20" fillId="13" borderId="24" xfId="68" applyFont="1" applyFill="1" applyBorder="1" applyAlignment="1" applyProtection="1">
      <alignment horizontal="center"/>
      <protection locked="0"/>
    </xf>
    <xf numFmtId="43" fontId="20" fillId="13" borderId="11" xfId="68" applyFont="1" applyFill="1" applyBorder="1" applyAlignment="1" applyProtection="1">
      <alignment horizontal="center"/>
      <protection locked="0"/>
    </xf>
    <xf numFmtId="43" fontId="20" fillId="13" borderId="16" xfId="68" applyFont="1" applyFill="1" applyBorder="1" applyAlignment="1" applyProtection="1">
      <alignment/>
      <protection locked="0"/>
    </xf>
    <xf numFmtId="43" fontId="28" fillId="13" borderId="24" xfId="68" applyFont="1" applyFill="1" applyBorder="1" applyAlignment="1" applyProtection="1">
      <alignment/>
      <protection locked="0"/>
    </xf>
    <xf numFmtId="43" fontId="28" fillId="13" borderId="27" xfId="68" applyFont="1" applyFill="1" applyBorder="1" applyAlignment="1" applyProtection="1">
      <alignment/>
      <protection locked="0"/>
    </xf>
    <xf numFmtId="43" fontId="20" fillId="13" borderId="27" xfId="68" applyFont="1" applyFill="1" applyBorder="1" applyAlignment="1" applyProtection="1">
      <alignment/>
      <protection locked="0"/>
    </xf>
    <xf numFmtId="0" fontId="68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164" fontId="28" fillId="0" borderId="0" xfId="0" applyNumberFormat="1" applyFont="1" applyFill="1" applyAlignment="1" applyProtection="1">
      <alignment horizontal="right"/>
      <protection/>
    </xf>
    <xf numFmtId="0" fontId="20" fillId="33" borderId="26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20" fillId="33" borderId="13" xfId="0" applyFont="1" applyFill="1" applyBorder="1" applyAlignment="1" applyProtection="1">
      <alignment/>
      <protection/>
    </xf>
    <xf numFmtId="0" fontId="28" fillId="33" borderId="27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wrapText="1"/>
      <protection/>
    </xf>
    <xf numFmtId="43" fontId="20" fillId="0" borderId="16" xfId="68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 wrapText="1"/>
      <protection/>
    </xf>
    <xf numFmtId="0" fontId="28" fillId="0" borderId="10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0" fillId="36" borderId="0" xfId="0" applyFont="1" applyFill="1" applyBorder="1" applyAlignment="1" applyProtection="1">
      <alignment/>
      <protection/>
    </xf>
    <xf numFmtId="43" fontId="20" fillId="0" borderId="23" xfId="68" applyFont="1" applyFill="1" applyBorder="1" applyAlignment="1" applyProtection="1">
      <alignment/>
      <protection/>
    </xf>
    <xf numFmtId="0" fontId="20" fillId="36" borderId="0" xfId="0" applyFont="1" applyFill="1" applyAlignment="1" applyProtection="1">
      <alignment/>
      <protection/>
    </xf>
    <xf numFmtId="0" fontId="20" fillId="36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43" fontId="28" fillId="0" borderId="19" xfId="68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33" borderId="18" xfId="0" applyFont="1" applyFill="1" applyBorder="1" applyAlignment="1" applyProtection="1">
      <alignment horizontal="center" vertical="center"/>
      <protection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/>
      <protection/>
    </xf>
    <xf numFmtId="0" fontId="28" fillId="33" borderId="27" xfId="0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center" vertical="center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/>
      <protection/>
    </xf>
    <xf numFmtId="43" fontId="20" fillId="0" borderId="18" xfId="68" applyFont="1" applyFill="1" applyBorder="1" applyAlignment="1" applyProtection="1">
      <alignment/>
      <protection/>
    </xf>
    <xf numFmtId="43" fontId="20" fillId="0" borderId="12" xfId="68" applyFont="1" applyFill="1" applyBorder="1" applyAlignment="1" applyProtection="1">
      <alignment/>
      <protection/>
    </xf>
    <xf numFmtId="43" fontId="20" fillId="0" borderId="11" xfId="68" applyFont="1" applyFill="1" applyBorder="1" applyAlignment="1" applyProtection="1">
      <alignment/>
      <protection/>
    </xf>
    <xf numFmtId="43" fontId="20" fillId="0" borderId="24" xfId="68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20" fillId="36" borderId="26" xfId="0" applyFont="1" applyFill="1" applyBorder="1" applyAlignment="1" applyProtection="1">
      <alignment horizontal="left"/>
      <protection/>
    </xf>
    <xf numFmtId="0" fontId="20" fillId="36" borderId="0" xfId="0" applyFont="1" applyFill="1" applyBorder="1" applyAlignment="1" applyProtection="1">
      <alignment horizontal="left"/>
      <protection/>
    </xf>
    <xf numFmtId="0" fontId="20" fillId="36" borderId="0" xfId="0" applyFont="1" applyFill="1" applyAlignment="1" applyProtection="1">
      <alignment/>
      <protection/>
    </xf>
    <xf numFmtId="0" fontId="20" fillId="36" borderId="11" xfId="0" applyFont="1" applyFill="1" applyBorder="1" applyAlignment="1" applyProtection="1">
      <alignment/>
      <protection/>
    </xf>
    <xf numFmtId="0" fontId="20" fillId="36" borderId="11" xfId="0" applyFont="1" applyFill="1" applyBorder="1" applyAlignment="1" applyProtection="1">
      <alignment horizontal="left"/>
      <protection/>
    </xf>
    <xf numFmtId="0" fontId="20" fillId="36" borderId="0" xfId="0" applyFont="1" applyFill="1" applyBorder="1" applyAlignment="1" applyProtection="1">
      <alignment horizontal="left" wrapText="1"/>
      <protection/>
    </xf>
    <xf numFmtId="0" fontId="20" fillId="36" borderId="11" xfId="0" applyFont="1" applyFill="1" applyBorder="1" applyAlignment="1" applyProtection="1">
      <alignment horizontal="left" wrapText="1"/>
      <protection/>
    </xf>
    <xf numFmtId="0" fontId="20" fillId="36" borderId="13" xfId="0" applyFont="1" applyFill="1" applyBorder="1" applyAlignment="1" applyProtection="1">
      <alignment horizontal="left" wrapText="1"/>
      <protection/>
    </xf>
    <xf numFmtId="0" fontId="28" fillId="36" borderId="10" xfId="0" applyFont="1" applyFill="1" applyBorder="1" applyAlignment="1" applyProtection="1">
      <alignment wrapText="1"/>
      <protection/>
    </xf>
    <xf numFmtId="0" fontId="69" fillId="0" borderId="10" xfId="0" applyFont="1" applyBorder="1" applyAlignment="1" applyProtection="1">
      <alignment/>
      <protection/>
    </xf>
    <xf numFmtId="0" fontId="69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8" fillId="36" borderId="0" xfId="0" applyFont="1" applyFill="1" applyBorder="1" applyAlignment="1" applyProtection="1">
      <alignment horizontal="left" vertical="center" wrapText="1"/>
      <protection/>
    </xf>
    <xf numFmtId="0" fontId="20" fillId="40" borderId="27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 applyProtection="1">
      <alignment/>
      <protection/>
    </xf>
    <xf numFmtId="0" fontId="28" fillId="36" borderId="13" xfId="0" applyFont="1" applyFill="1" applyBorder="1" applyAlignment="1" applyProtection="1">
      <alignment horizontal="left" vertical="center" wrapText="1"/>
      <protection/>
    </xf>
    <xf numFmtId="0" fontId="28" fillId="36" borderId="15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70" fillId="33" borderId="26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8" fillId="33" borderId="18" xfId="0" applyFont="1" applyFill="1" applyBorder="1" applyAlignment="1" applyProtection="1">
      <alignment horizontal="center"/>
      <protection/>
    </xf>
    <xf numFmtId="0" fontId="28" fillId="33" borderId="26" xfId="0" applyFont="1" applyFill="1" applyBorder="1" applyAlignment="1" applyProtection="1">
      <alignment horizontal="center"/>
      <protection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43" fontId="28" fillId="40" borderId="19" xfId="68" applyFont="1" applyFill="1" applyBorder="1" applyAlignment="1" applyProtection="1">
      <alignment/>
      <protection/>
    </xf>
    <xf numFmtId="43" fontId="28" fillId="0" borderId="25" xfId="68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43" fontId="3" fillId="13" borderId="24" xfId="68" applyFont="1" applyFill="1" applyBorder="1" applyAlignment="1" applyProtection="1">
      <alignment horizontal="center"/>
      <protection locked="0"/>
    </xf>
    <xf numFmtId="43" fontId="3" fillId="13" borderId="11" xfId="68" applyFont="1" applyFill="1" applyBorder="1" applyAlignment="1" applyProtection="1">
      <alignment horizontal="center"/>
      <protection locked="0"/>
    </xf>
    <xf numFmtId="43" fontId="3" fillId="13" borderId="0" xfId="68" applyFont="1" applyFill="1" applyBorder="1" applyAlignment="1" applyProtection="1">
      <alignment horizontal="center"/>
      <protection locked="0"/>
    </xf>
    <xf numFmtId="43" fontId="20" fillId="13" borderId="24" xfId="68" applyFont="1" applyFill="1" applyBorder="1" applyAlignment="1" applyProtection="1">
      <alignment horizontal="center"/>
      <protection locked="0"/>
    </xf>
    <xf numFmtId="43" fontId="20" fillId="13" borderId="11" xfId="68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43" fontId="28" fillId="0" borderId="19" xfId="68" applyFont="1" applyFill="1" applyBorder="1" applyAlignment="1" applyProtection="1">
      <alignment vertical="center"/>
      <protection/>
    </xf>
    <xf numFmtId="43" fontId="20" fillId="13" borderId="16" xfId="68" applyFont="1" applyFill="1" applyBorder="1" applyAlignment="1" applyProtection="1">
      <alignment horizontal="center"/>
      <protection locked="0"/>
    </xf>
    <xf numFmtId="43" fontId="20" fillId="0" borderId="19" xfId="68" applyFont="1" applyFill="1" applyBorder="1" applyAlignment="1" applyProtection="1">
      <alignment/>
      <protection/>
    </xf>
    <xf numFmtId="43" fontId="20" fillId="13" borderId="11" xfId="68" applyFont="1" applyFill="1" applyBorder="1" applyAlignment="1" applyProtection="1">
      <alignment/>
      <protection locked="0"/>
    </xf>
    <xf numFmtId="43" fontId="20" fillId="13" borderId="18" xfId="68" applyFont="1" applyFill="1" applyBorder="1" applyAlignment="1" applyProtection="1">
      <alignment horizontal="left"/>
      <protection locked="0"/>
    </xf>
    <xf numFmtId="43" fontId="20" fillId="13" borderId="12" xfId="68" applyFont="1" applyFill="1" applyBorder="1" applyAlignment="1" applyProtection="1">
      <alignment horizontal="left"/>
      <protection locked="0"/>
    </xf>
    <xf numFmtId="43" fontId="20" fillId="13" borderId="16" xfId="68" applyFont="1" applyFill="1" applyBorder="1" applyAlignment="1" applyProtection="1">
      <alignment horizontal="left"/>
      <protection locked="0"/>
    </xf>
    <xf numFmtId="43" fontId="20" fillId="13" borderId="11" xfId="68" applyFont="1" applyFill="1" applyBorder="1" applyAlignment="1" applyProtection="1">
      <alignment horizontal="left"/>
      <protection locked="0"/>
    </xf>
    <xf numFmtId="43" fontId="20" fillId="13" borderId="24" xfId="68" applyFont="1" applyFill="1" applyBorder="1" applyAlignment="1" applyProtection="1">
      <alignment horizontal="center" vertical="center"/>
      <protection locked="0"/>
    </xf>
    <xf numFmtId="43" fontId="20" fillId="13" borderId="0" xfId="68" applyFont="1" applyFill="1" applyBorder="1" applyAlignment="1" applyProtection="1">
      <alignment horizontal="center"/>
      <protection locked="0"/>
    </xf>
    <xf numFmtId="43" fontId="20" fillId="13" borderId="0" xfId="68" applyFont="1" applyFill="1" applyBorder="1" applyAlignment="1" applyProtection="1">
      <alignment horizontal="center" vertical="center"/>
      <protection locked="0"/>
    </xf>
    <xf numFmtId="43" fontId="28" fillId="36" borderId="25" xfId="68" applyFont="1" applyFill="1" applyBorder="1" applyAlignment="1" applyProtection="1">
      <alignment horizontal="center" vertical="center" wrapText="1"/>
      <protection/>
    </xf>
    <xf numFmtId="43" fontId="28" fillId="13" borderId="18" xfId="68" applyFont="1" applyFill="1" applyBorder="1" applyAlignment="1" applyProtection="1">
      <alignment vertical="center" wrapText="1"/>
      <protection locked="0"/>
    </xf>
    <xf numFmtId="43" fontId="28" fillId="13" borderId="12" xfId="68" applyFont="1" applyFill="1" applyBorder="1" applyAlignment="1" applyProtection="1">
      <alignment vertical="center" wrapText="1"/>
      <protection locked="0"/>
    </xf>
    <xf numFmtId="43" fontId="20" fillId="13" borderId="18" xfId="68" applyFont="1" applyFill="1" applyBorder="1" applyAlignment="1" applyProtection="1">
      <alignment/>
      <protection locked="0"/>
    </xf>
    <xf numFmtId="43" fontId="20" fillId="13" borderId="12" xfId="68" applyFont="1" applyFill="1" applyBorder="1" applyAlignment="1" applyProtection="1">
      <alignment/>
      <protection locked="0"/>
    </xf>
    <xf numFmtId="43" fontId="28" fillId="13" borderId="16" xfId="68" applyFont="1" applyFill="1" applyBorder="1" applyAlignment="1" applyProtection="1">
      <alignment vertical="center" wrapText="1"/>
      <protection locked="0"/>
    </xf>
    <xf numFmtId="43" fontId="28" fillId="13" borderId="11" xfId="68" applyFont="1" applyFill="1" applyBorder="1" applyAlignment="1" applyProtection="1">
      <alignment vertical="center" wrapText="1"/>
      <protection locked="0"/>
    </xf>
    <xf numFmtId="43" fontId="20" fillId="13" borderId="0" xfId="68" applyFont="1" applyFill="1" applyBorder="1" applyAlignment="1" applyProtection="1">
      <alignment horizontal="center"/>
      <protection locked="0"/>
    </xf>
    <xf numFmtId="43" fontId="3" fillId="13" borderId="11" xfId="68" applyFont="1" applyFill="1" applyBorder="1" applyAlignment="1" applyProtection="1">
      <alignment horizontal="left" vertical="top" wrapText="1"/>
      <protection locked="0"/>
    </xf>
    <xf numFmtId="43" fontId="8" fillId="13" borderId="24" xfId="68" applyFont="1" applyFill="1" applyBorder="1" applyAlignment="1" applyProtection="1">
      <alignment/>
      <protection locked="0"/>
    </xf>
    <xf numFmtId="43" fontId="8" fillId="13" borderId="27" xfId="68" applyFont="1" applyFill="1" applyBorder="1" applyAlignment="1" applyProtection="1">
      <alignment/>
      <protection locked="0"/>
    </xf>
    <xf numFmtId="43" fontId="20" fillId="13" borderId="0" xfId="68" applyFont="1" applyFill="1" applyAlignment="1" applyProtection="1">
      <alignment/>
      <protection locked="0"/>
    </xf>
    <xf numFmtId="43" fontId="8" fillId="13" borderId="23" xfId="68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03" fillId="0" borderId="0" xfId="0" applyFont="1" applyAlignment="1" applyProtection="1">
      <alignment horizontal="center" vertical="center"/>
      <protection/>
    </xf>
    <xf numFmtId="0" fontId="103" fillId="0" borderId="0" xfId="0" applyFont="1" applyFill="1" applyAlignment="1" applyProtection="1">
      <alignment/>
      <protection/>
    </xf>
    <xf numFmtId="0" fontId="103" fillId="0" borderId="0" xfId="0" applyFont="1" applyFill="1" applyAlignment="1" applyProtection="1">
      <alignment horizontal="right" vertical="center"/>
      <protection/>
    </xf>
    <xf numFmtId="0" fontId="103" fillId="0" borderId="0" xfId="0" applyFont="1" applyFill="1" applyAlignment="1" applyProtection="1">
      <alignment horizontal="right"/>
      <protection/>
    </xf>
    <xf numFmtId="43" fontId="103" fillId="0" borderId="0" xfId="0" applyNumberFormat="1" applyFont="1" applyFill="1" applyAlignment="1" applyProtection="1">
      <alignment/>
      <protection/>
    </xf>
    <xf numFmtId="0" fontId="103" fillId="0" borderId="0" xfId="0" applyNumberFormat="1" applyFont="1" applyFill="1" applyAlignment="1" applyProtection="1">
      <alignment/>
      <protection/>
    </xf>
    <xf numFmtId="0" fontId="107" fillId="0" borderId="0" xfId="50" applyFont="1" applyFill="1" applyAlignment="1" applyProtection="1">
      <alignment/>
      <protection/>
    </xf>
    <xf numFmtId="0" fontId="108" fillId="0" borderId="0" xfId="50" applyFont="1" applyFill="1" applyAlignment="1" applyProtection="1">
      <alignment/>
      <protection/>
    </xf>
    <xf numFmtId="0" fontId="108" fillId="0" borderId="11" xfId="50" applyFont="1" applyFill="1" applyBorder="1" applyAlignment="1" applyProtection="1">
      <alignment/>
      <protection/>
    </xf>
    <xf numFmtId="0" fontId="108" fillId="0" borderId="0" xfId="50" applyFont="1" applyFill="1" applyBorder="1" applyAlignment="1" applyProtection="1">
      <alignment/>
      <protection/>
    </xf>
    <xf numFmtId="43" fontId="108" fillId="0" borderId="0" xfId="68" applyFont="1" applyFill="1" applyBorder="1" applyAlignment="1" applyProtection="1">
      <alignment/>
      <protection/>
    </xf>
    <xf numFmtId="0" fontId="109" fillId="0" borderId="0" xfId="50" applyFont="1" applyFill="1" applyBorder="1" applyAlignment="1" applyProtection="1">
      <alignment/>
      <protection/>
    </xf>
    <xf numFmtId="0" fontId="108" fillId="0" borderId="0" xfId="51" applyFont="1" applyFill="1" applyBorder="1" applyAlignment="1" applyProtection="1">
      <alignment/>
      <protection/>
    </xf>
    <xf numFmtId="0" fontId="108" fillId="0" borderId="0" xfId="51" applyFont="1" applyFill="1" applyBorder="1" applyAlignment="1" applyProtection="1">
      <alignment vertical="center"/>
      <protection/>
    </xf>
    <xf numFmtId="0" fontId="108" fillId="0" borderId="0" xfId="51" applyFont="1" applyFill="1" applyBorder="1" applyAlignment="1" applyProtection="1">
      <alignment horizontal="center" wrapText="1"/>
      <protection/>
    </xf>
    <xf numFmtId="0" fontId="108" fillId="0" borderId="0" xfId="51" applyFont="1" applyFill="1" applyBorder="1" applyAlignment="1" applyProtection="1">
      <alignment horizontal="center"/>
      <protection/>
    </xf>
    <xf numFmtId="0" fontId="108" fillId="0" borderId="0" xfId="50" applyFont="1" applyFill="1" applyAlignment="1" applyProtection="1">
      <alignment vertical="center"/>
      <protection/>
    </xf>
    <xf numFmtId="0" fontId="108" fillId="0" borderId="0" xfId="50" applyFont="1" applyFill="1" applyAlignment="1" applyProtection="1">
      <alignment horizontal="center" vertical="center"/>
      <protection/>
    </xf>
    <xf numFmtId="0" fontId="108" fillId="0" borderId="0" xfId="50" applyFont="1" applyFill="1" applyBorder="1" applyAlignment="1" applyProtection="1">
      <alignment vertical="top" wrapText="1"/>
      <protection/>
    </xf>
    <xf numFmtId="0" fontId="108" fillId="0" borderId="0" xfId="50" applyFont="1" applyFill="1" applyBorder="1" applyAlignment="1" applyProtection="1">
      <alignment horizontal="left" vertical="center" wrapText="1"/>
      <protection/>
    </xf>
    <xf numFmtId="0" fontId="108" fillId="0" borderId="0" xfId="50" applyFont="1" applyFill="1" applyBorder="1" applyAlignment="1" applyProtection="1">
      <alignment horizontal="left" vertical="center"/>
      <protection/>
    </xf>
    <xf numFmtId="0" fontId="108" fillId="0" borderId="0" xfId="50" applyFont="1" applyFill="1" applyAlignment="1" applyProtection="1">
      <alignment horizontal="left" vertical="center"/>
      <protection/>
    </xf>
    <xf numFmtId="0" fontId="103" fillId="0" borderId="0" xfId="50" applyFont="1" applyFill="1" applyBorder="1" applyAlignment="1" applyProtection="1">
      <alignment/>
      <protection/>
    </xf>
    <xf numFmtId="0" fontId="68" fillId="0" borderId="0" xfId="50" applyNumberFormat="1" applyFont="1" applyFill="1" applyAlignment="1" applyProtection="1">
      <alignment/>
      <protection/>
    </xf>
    <xf numFmtId="0" fontId="20" fillId="0" borderId="0" xfId="50" applyFont="1" applyFill="1" applyAlignment="1" applyProtection="1">
      <alignment horizontal="center"/>
      <protection/>
    </xf>
    <xf numFmtId="0" fontId="69" fillId="0" borderId="0" xfId="50" applyFont="1" applyProtection="1">
      <alignment/>
      <protection/>
    </xf>
    <xf numFmtId="0" fontId="0" fillId="0" borderId="0" xfId="50" applyProtection="1">
      <alignment/>
      <protection/>
    </xf>
    <xf numFmtId="0" fontId="20" fillId="0" borderId="0" xfId="50" applyFont="1" applyFill="1" applyAlignment="1" applyProtection="1">
      <alignment/>
      <protection/>
    </xf>
    <xf numFmtId="0" fontId="20" fillId="36" borderId="0" xfId="50" applyFont="1" applyFill="1" applyProtection="1">
      <alignment/>
      <protection/>
    </xf>
    <xf numFmtId="164" fontId="20" fillId="0" borderId="0" xfId="50" applyNumberFormat="1" applyFont="1" applyFill="1" applyAlignment="1" applyProtection="1">
      <alignment horizontal="right"/>
      <protection/>
    </xf>
    <xf numFmtId="0" fontId="28" fillId="33" borderId="18" xfId="50" applyFont="1" applyFill="1" applyBorder="1" applyAlignment="1" applyProtection="1">
      <alignment horizontal="center" vertical="center"/>
      <protection/>
    </xf>
    <xf numFmtId="0" fontId="28" fillId="33" borderId="26" xfId="50" applyFont="1" applyFill="1" applyBorder="1" applyAlignment="1" applyProtection="1">
      <alignment horizontal="center" vertical="center"/>
      <protection/>
    </xf>
    <xf numFmtId="0" fontId="20" fillId="33" borderId="0" xfId="50" applyFont="1" applyFill="1" applyBorder="1" applyAlignment="1" applyProtection="1">
      <alignment horizontal="center"/>
      <protection/>
    </xf>
    <xf numFmtId="0" fontId="28" fillId="33" borderId="17" xfId="50" applyFont="1" applyFill="1" applyBorder="1" applyAlignment="1" applyProtection="1">
      <alignment horizontal="center"/>
      <protection/>
    </xf>
    <xf numFmtId="0" fontId="28" fillId="33" borderId="13" xfId="50" applyFont="1" applyFill="1" applyBorder="1" applyAlignment="1" applyProtection="1">
      <alignment horizontal="center"/>
      <protection/>
    </xf>
    <xf numFmtId="0" fontId="20" fillId="0" borderId="26" xfId="50" applyFont="1" applyFill="1" applyBorder="1" applyAlignment="1" applyProtection="1">
      <alignment/>
      <protection/>
    </xf>
    <xf numFmtId="43" fontId="20" fillId="0" borderId="16" xfId="68" applyFont="1" applyFill="1" applyBorder="1" applyAlignment="1" applyProtection="1">
      <alignment horizontal="center"/>
      <protection/>
    </xf>
    <xf numFmtId="0" fontId="20" fillId="0" borderId="0" xfId="50" applyFont="1" applyFill="1" applyBorder="1" applyAlignment="1" applyProtection="1">
      <alignment/>
      <protection/>
    </xf>
    <xf numFmtId="0" fontId="28" fillId="36" borderId="10" xfId="50" applyFont="1" applyFill="1" applyBorder="1" applyAlignment="1" applyProtection="1">
      <alignment/>
      <protection/>
    </xf>
    <xf numFmtId="43" fontId="20" fillId="0" borderId="19" xfId="50" applyNumberFormat="1" applyFont="1" applyFill="1" applyBorder="1" applyAlignment="1" applyProtection="1">
      <alignment horizontal="center"/>
      <protection/>
    </xf>
    <xf numFmtId="43" fontId="20" fillId="0" borderId="19" xfId="68" applyFont="1" applyFill="1" applyBorder="1" applyAlignment="1" applyProtection="1">
      <alignment horizontal="center"/>
      <protection/>
    </xf>
    <xf numFmtId="43" fontId="20" fillId="0" borderId="25" xfId="50" applyNumberFormat="1" applyFont="1" applyFill="1" applyBorder="1" applyAlignment="1" applyProtection="1">
      <alignment horizontal="center"/>
      <protection/>
    </xf>
    <xf numFmtId="0" fontId="28" fillId="33" borderId="18" xfId="50" applyFont="1" applyFill="1" applyBorder="1" applyAlignment="1" applyProtection="1">
      <alignment horizontal="center"/>
      <protection/>
    </xf>
    <xf numFmtId="0" fontId="28" fillId="33" borderId="26" xfId="50" applyFont="1" applyFill="1" applyBorder="1" applyAlignment="1" applyProtection="1">
      <alignment horizontal="center"/>
      <protection/>
    </xf>
    <xf numFmtId="0" fontId="20" fillId="36" borderId="0" xfId="50" applyFont="1" applyFill="1" applyBorder="1" applyAlignment="1" applyProtection="1">
      <alignment horizontal="left"/>
      <protection/>
    </xf>
    <xf numFmtId="0" fontId="20" fillId="36" borderId="26" xfId="50" applyFont="1" applyFill="1" applyBorder="1" applyAlignment="1" applyProtection="1">
      <alignment horizontal="left"/>
      <protection/>
    </xf>
    <xf numFmtId="0" fontId="20" fillId="36" borderId="11" xfId="50" applyFont="1" applyFill="1" applyBorder="1" applyAlignment="1" applyProtection="1">
      <alignment horizontal="left"/>
      <protection/>
    </xf>
    <xf numFmtId="0" fontId="20" fillId="36" borderId="0" xfId="50" applyFont="1" applyFill="1" applyBorder="1" applyProtection="1">
      <alignment/>
      <protection/>
    </xf>
    <xf numFmtId="0" fontId="28" fillId="36" borderId="10" xfId="50" applyFont="1" applyFill="1" applyBorder="1" applyAlignment="1" applyProtection="1">
      <alignment wrapText="1"/>
      <protection/>
    </xf>
    <xf numFmtId="0" fontId="20" fillId="0" borderId="13" xfId="50" applyFont="1" applyFill="1" applyBorder="1" applyAlignment="1" applyProtection="1">
      <alignment/>
      <protection/>
    </xf>
    <xf numFmtId="0" fontId="20" fillId="0" borderId="10" xfId="50" applyFont="1" applyFill="1" applyBorder="1" applyAlignment="1" applyProtection="1">
      <alignment horizontal="center"/>
      <protection/>
    </xf>
    <xf numFmtId="0" fontId="28" fillId="36" borderId="10" xfId="50" applyFont="1" applyFill="1" applyBorder="1" applyAlignment="1" applyProtection="1">
      <alignment horizontal="left" vertical="center" wrapText="1"/>
      <protection/>
    </xf>
    <xf numFmtId="0" fontId="28" fillId="36" borderId="10" xfId="50" applyFont="1" applyFill="1" applyBorder="1" applyAlignment="1" applyProtection="1">
      <alignment horizontal="center" vertical="center" wrapText="1"/>
      <protection/>
    </xf>
    <xf numFmtId="43" fontId="20" fillId="0" borderId="27" xfId="50" applyNumberFormat="1" applyFont="1" applyFill="1" applyBorder="1" applyAlignment="1" applyProtection="1">
      <alignment horizontal="center" vertical="center"/>
      <protection/>
    </xf>
    <xf numFmtId="43" fontId="20" fillId="0" borderId="25" xfId="50" applyNumberFormat="1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/>
      <protection/>
    </xf>
    <xf numFmtId="0" fontId="18" fillId="0" borderId="0" xfId="50" applyFont="1" applyFill="1" applyBorder="1" applyAlignment="1" applyProtection="1">
      <alignment/>
      <protection/>
    </xf>
    <xf numFmtId="0" fontId="20" fillId="0" borderId="0" xfId="50" applyFont="1" applyAlignment="1" applyProtection="1">
      <alignment horizontal="right"/>
      <protection/>
    </xf>
    <xf numFmtId="43" fontId="0" fillId="13" borderId="23" xfId="68" applyFont="1" applyFill="1" applyBorder="1" applyAlignment="1" applyProtection="1">
      <alignment/>
      <protection locked="0"/>
    </xf>
    <xf numFmtId="0" fontId="70" fillId="33" borderId="12" xfId="50" applyFont="1" applyFill="1" applyBorder="1" applyAlignment="1" applyProtection="1">
      <alignment horizontal="center" vertical="center" wrapText="1"/>
      <protection/>
    </xf>
    <xf numFmtId="0" fontId="70" fillId="13" borderId="11" xfId="50" applyFont="1" applyFill="1" applyBorder="1" applyAlignment="1" applyProtection="1">
      <alignment horizontal="center" vertical="center"/>
      <protection locked="0"/>
    </xf>
    <xf numFmtId="43" fontId="0" fillId="13" borderId="24" xfId="68" applyFont="1" applyFill="1" applyBorder="1" applyAlignment="1" applyProtection="1">
      <alignment/>
      <protection locked="0"/>
    </xf>
    <xf numFmtId="43" fontId="0" fillId="13" borderId="27" xfId="68" applyFont="1" applyFill="1" applyBorder="1" applyAlignment="1" applyProtection="1">
      <alignment/>
      <protection locked="0"/>
    </xf>
    <xf numFmtId="0" fontId="25" fillId="13" borderId="10" xfId="0" applyFont="1" applyFill="1" applyBorder="1" applyAlignment="1" applyProtection="1">
      <alignment horizontal="left" vertical="top"/>
      <protection locked="0"/>
    </xf>
    <xf numFmtId="0" fontId="2" fillId="13" borderId="27" xfId="0" applyFont="1" applyFill="1" applyBorder="1" applyAlignment="1" applyProtection="1">
      <alignment horizontal="center" vertical="top" wrapText="1"/>
      <protection locked="0"/>
    </xf>
    <xf numFmtId="43" fontId="3" fillId="13" borderId="24" xfId="68" applyFont="1" applyFill="1" applyBorder="1" applyAlignment="1" applyProtection="1">
      <alignment horizontal="right" vertical="top" wrapText="1"/>
      <protection locked="0"/>
    </xf>
    <xf numFmtId="43" fontId="3" fillId="13" borderId="16" xfId="68" applyFont="1" applyFill="1" applyBorder="1" applyAlignment="1" applyProtection="1">
      <alignment horizontal="right" vertical="top" wrapText="1"/>
      <protection locked="0"/>
    </xf>
    <xf numFmtId="43" fontId="3" fillId="13" borderId="16" xfId="68" applyFont="1" applyFill="1" applyBorder="1" applyAlignment="1" applyProtection="1">
      <alignment vertical="top" wrapText="1"/>
      <protection locked="0"/>
    </xf>
    <xf numFmtId="43" fontId="3" fillId="13" borderId="27" xfId="68" applyFont="1" applyFill="1" applyBorder="1" applyAlignment="1" applyProtection="1">
      <alignment horizontal="right" vertical="top" wrapText="1"/>
      <protection locked="0"/>
    </xf>
    <xf numFmtId="43" fontId="3" fillId="13" borderId="17" xfId="68" applyFont="1" applyFill="1" applyBorder="1" applyAlignment="1" applyProtection="1">
      <alignment horizontal="right" vertical="top" wrapText="1"/>
      <protection locked="0"/>
    </xf>
    <xf numFmtId="43" fontId="3" fillId="13" borderId="17" xfId="68" applyFont="1" applyFill="1" applyBorder="1" applyAlignment="1" applyProtection="1">
      <alignment vertical="top" wrapText="1"/>
      <protection locked="0"/>
    </xf>
    <xf numFmtId="43" fontId="3" fillId="13" borderId="25" xfId="68" applyFont="1" applyFill="1" applyBorder="1" applyAlignment="1" applyProtection="1">
      <alignment horizontal="right" vertical="top" wrapText="1"/>
      <protection locked="0"/>
    </xf>
    <xf numFmtId="43" fontId="3" fillId="13" borderId="19" xfId="68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horizontal="justify" vertical="top" wrapText="1"/>
      <protection locked="0"/>
    </xf>
    <xf numFmtId="0" fontId="3" fillId="0" borderId="15" xfId="0" applyFont="1" applyFill="1" applyBorder="1" applyAlignment="1" applyProtection="1">
      <alignment horizontal="justify" vertical="top" wrapText="1"/>
      <protection locked="0"/>
    </xf>
    <xf numFmtId="43" fontId="3" fillId="0" borderId="11" xfId="68" applyFont="1" applyFill="1" applyBorder="1" applyAlignment="1">
      <alignment/>
    </xf>
    <xf numFmtId="43" fontId="3" fillId="0" borderId="16" xfId="68" applyFont="1" applyFill="1" applyBorder="1" applyAlignment="1">
      <alignment/>
    </xf>
    <xf numFmtId="43" fontId="3" fillId="0" borderId="14" xfId="68" applyFont="1" applyFill="1" applyBorder="1" applyAlignment="1">
      <alignment/>
    </xf>
    <xf numFmtId="43" fontId="3" fillId="13" borderId="11" xfId="68" applyFont="1" applyFill="1" applyBorder="1" applyAlignment="1" applyProtection="1">
      <alignment/>
      <protection locked="0"/>
    </xf>
    <xf numFmtId="43" fontId="3" fillId="13" borderId="15" xfId="68" applyFont="1" applyFill="1" applyBorder="1" applyAlignment="1" applyProtection="1">
      <alignment/>
      <protection locked="0"/>
    </xf>
    <xf numFmtId="43" fontId="3" fillId="13" borderId="27" xfId="68" applyFont="1" applyFill="1" applyBorder="1" applyAlignment="1" applyProtection="1">
      <alignment/>
      <protection locked="0"/>
    </xf>
    <xf numFmtId="43" fontId="3" fillId="13" borderId="16" xfId="68" applyFont="1" applyFill="1" applyBorder="1" applyAlignment="1" applyProtection="1">
      <alignment/>
      <protection locked="0"/>
    </xf>
    <xf numFmtId="43" fontId="3" fillId="13" borderId="17" xfId="68" applyFont="1" applyFill="1" applyBorder="1" applyAlignment="1" applyProtection="1">
      <alignment/>
      <protection locked="0"/>
    </xf>
    <xf numFmtId="43" fontId="3" fillId="13" borderId="14" xfId="68" applyFont="1" applyFill="1" applyBorder="1" applyAlignment="1" applyProtection="1">
      <alignment/>
      <protection locked="0"/>
    </xf>
    <xf numFmtId="10" fontId="3" fillId="13" borderId="19" xfId="54" applyNumberFormat="1" applyFont="1" applyFill="1" applyBorder="1" applyAlignment="1" applyProtection="1">
      <alignment/>
      <protection locked="0"/>
    </xf>
    <xf numFmtId="43" fontId="6" fillId="39" borderId="16" xfId="68" applyFont="1" applyFill="1" applyBorder="1" applyAlignment="1" applyProtection="1">
      <alignment/>
      <protection locked="0"/>
    </xf>
    <xf numFmtId="43" fontId="11" fillId="39" borderId="16" xfId="68" applyFont="1" applyFill="1" applyBorder="1" applyAlignment="1" applyProtection="1">
      <alignment/>
      <protection locked="0"/>
    </xf>
    <xf numFmtId="43" fontId="6" fillId="39" borderId="0" xfId="68" applyFont="1" applyFill="1" applyBorder="1" applyAlignment="1" applyProtection="1">
      <alignment/>
      <protection locked="0"/>
    </xf>
    <xf numFmtId="43" fontId="6" fillId="39" borderId="13" xfId="68" applyFont="1" applyFill="1" applyBorder="1" applyAlignment="1" applyProtection="1">
      <alignment/>
      <protection locked="0"/>
    </xf>
    <xf numFmtId="43" fontId="6" fillId="39" borderId="17" xfId="68" applyFont="1" applyFill="1" applyBorder="1" applyAlignment="1" applyProtection="1">
      <alignment/>
      <protection locked="0"/>
    </xf>
    <xf numFmtId="43" fontId="6" fillId="39" borderId="11" xfId="68" applyFont="1" applyFill="1" applyBorder="1" applyAlignment="1" applyProtection="1">
      <alignment/>
      <protection locked="0"/>
    </xf>
    <xf numFmtId="43" fontId="6" fillId="39" borderId="16" xfId="68" applyFont="1" applyFill="1" applyBorder="1" applyAlignment="1" applyProtection="1">
      <alignment/>
      <protection locked="0"/>
    </xf>
    <xf numFmtId="43" fontId="6" fillId="13" borderId="25" xfId="68" applyFont="1" applyFill="1" applyBorder="1" applyAlignment="1" applyProtection="1">
      <alignment horizontal="center" vertical="center"/>
      <protection locked="0"/>
    </xf>
    <xf numFmtId="43" fontId="6" fillId="13" borderId="19" xfId="68" applyFont="1" applyFill="1" applyBorder="1" applyAlignment="1" applyProtection="1">
      <alignment horizontal="center" vertical="center"/>
      <protection locked="0"/>
    </xf>
    <xf numFmtId="43" fontId="6" fillId="13" borderId="10" xfId="68" applyFont="1" applyFill="1" applyBorder="1" applyAlignment="1" applyProtection="1">
      <alignment vertical="center"/>
      <protection locked="0"/>
    </xf>
    <xf numFmtId="43" fontId="6" fillId="13" borderId="25" xfId="68" applyFont="1" applyFill="1" applyBorder="1" applyAlignment="1" applyProtection="1">
      <alignment vertical="center"/>
      <protection locked="0"/>
    </xf>
    <xf numFmtId="43" fontId="6" fillId="13" borderId="19" xfId="68" applyFont="1" applyFill="1" applyBorder="1" applyAlignment="1" applyProtection="1">
      <alignment vertical="center"/>
      <protection locked="0"/>
    </xf>
    <xf numFmtId="43" fontId="6" fillId="13" borderId="0" xfId="68" applyFont="1" applyFill="1" applyBorder="1" applyAlignment="1" applyProtection="1">
      <alignment/>
      <protection locked="0"/>
    </xf>
    <xf numFmtId="43" fontId="0" fillId="13" borderId="0" xfId="68" applyFont="1" applyFill="1" applyAlignment="1" applyProtection="1">
      <alignment/>
      <protection locked="0"/>
    </xf>
    <xf numFmtId="0" fontId="6" fillId="0" borderId="13" xfId="50" applyFont="1" applyFill="1" applyBorder="1" applyAlignment="1" applyProtection="1">
      <alignment horizontal="right"/>
      <protection/>
    </xf>
    <xf numFmtId="43" fontId="6" fillId="39" borderId="25" xfId="68" applyFont="1" applyFill="1" applyBorder="1" applyAlignment="1" applyProtection="1">
      <alignment horizontal="center"/>
      <protection locked="0"/>
    </xf>
    <xf numFmtId="43" fontId="6" fillId="39" borderId="24" xfId="68" applyFont="1" applyFill="1" applyBorder="1" applyAlignment="1" applyProtection="1">
      <alignment horizontal="center"/>
      <protection locked="0"/>
    </xf>
    <xf numFmtId="43" fontId="6" fillId="16" borderId="16" xfId="68" applyFont="1" applyFill="1" applyBorder="1" applyAlignment="1" applyProtection="1">
      <alignment horizontal="center"/>
      <protection/>
    </xf>
    <xf numFmtId="43" fontId="6" fillId="16" borderId="24" xfId="68" applyFont="1" applyFill="1" applyBorder="1" applyAlignment="1" applyProtection="1">
      <alignment/>
      <protection/>
    </xf>
    <xf numFmtId="43" fontId="6" fillId="10" borderId="23" xfId="68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10" fillId="0" borderId="0" xfId="0" applyFont="1" applyFill="1" applyAlignment="1" applyProtection="1">
      <alignment/>
      <protection/>
    </xf>
    <xf numFmtId="0" fontId="111" fillId="0" borderId="0" xfId="0" applyFont="1" applyFill="1" applyAlignment="1" applyProtection="1">
      <alignment horizontal="justify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0" fontId="25" fillId="33" borderId="14" xfId="0" applyFont="1" applyFill="1" applyBorder="1" applyAlignment="1" applyProtection="1">
      <alignment vertical="top"/>
      <protection/>
    </xf>
    <xf numFmtId="0" fontId="111" fillId="0" borderId="0" xfId="0" applyFont="1" applyFill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3" fillId="0" borderId="11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" fillId="0" borderId="15" xfId="0" applyFont="1" applyFill="1" applyBorder="1" applyAlignment="1" applyProtection="1">
      <alignment horizontal="justify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111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11" fillId="0" borderId="0" xfId="0" applyFont="1" applyFill="1" applyBorder="1" applyAlignment="1" applyProtection="1">
      <alignment vertical="top" wrapText="1"/>
      <protection/>
    </xf>
    <xf numFmtId="43" fontId="3" fillId="0" borderId="25" xfId="68" applyFont="1" applyFill="1" applyBorder="1" applyAlignment="1" applyProtection="1">
      <alignment horizontal="right" vertical="top" wrapText="1"/>
      <protection/>
    </xf>
    <xf numFmtId="43" fontId="3" fillId="0" borderId="19" xfId="68" applyFont="1" applyFill="1" applyBorder="1" applyAlignment="1" applyProtection="1">
      <alignment horizontal="right" vertical="top" wrapText="1"/>
      <protection/>
    </xf>
    <xf numFmtId="43" fontId="111" fillId="0" borderId="0" xfId="0" applyNumberFormat="1" applyFont="1" applyFill="1" applyBorder="1" applyAlignment="1" applyProtection="1">
      <alignment vertical="top" wrapText="1"/>
      <protection/>
    </xf>
    <xf numFmtId="10" fontId="3" fillId="0" borderId="25" xfId="54" applyNumberFormat="1" applyFont="1" applyFill="1" applyBorder="1" applyAlignment="1" applyProtection="1">
      <alignment horizontal="right" vertical="top" wrapText="1"/>
      <protection/>
    </xf>
    <xf numFmtId="10" fontId="3" fillId="0" borderId="19" xfId="54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1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7" fontId="20" fillId="13" borderId="17" xfId="68" applyNumberFormat="1" applyFont="1" applyFill="1" applyBorder="1" applyAlignment="1" applyProtection="1">
      <alignment/>
      <protection locked="0"/>
    </xf>
    <xf numFmtId="7" fontId="20" fillId="13" borderId="16" xfId="68" applyNumberFormat="1" applyFont="1" applyFill="1" applyBorder="1" applyAlignment="1" applyProtection="1">
      <alignment horizontal="center"/>
      <protection locked="0"/>
    </xf>
    <xf numFmtId="7" fontId="20" fillId="13" borderId="0" xfId="68" applyNumberFormat="1" applyFont="1" applyFill="1" applyBorder="1" applyAlignment="1" applyProtection="1">
      <alignment horizontal="center"/>
      <protection locked="0"/>
    </xf>
    <xf numFmtId="7" fontId="8" fillId="13" borderId="27" xfId="68" applyNumberFormat="1" applyFont="1" applyFill="1" applyBorder="1" applyAlignment="1" applyProtection="1">
      <alignment/>
      <protection locked="0"/>
    </xf>
    <xf numFmtId="0" fontId="0" fillId="2" borderId="0" xfId="50" applyFill="1" applyBorder="1" applyAlignment="1" applyProtection="1">
      <alignment vertical="center"/>
      <protection locked="0"/>
    </xf>
    <xf numFmtId="0" fontId="0" fillId="2" borderId="0" xfId="50" applyFill="1" applyBorder="1" applyAlignment="1" applyProtection="1">
      <alignment vertical="center"/>
      <protection locked="0"/>
    </xf>
    <xf numFmtId="14" fontId="0" fillId="2" borderId="0" xfId="50" applyNumberFormat="1" applyFill="1" applyBorder="1" applyAlignment="1" applyProtection="1">
      <alignment vertical="center"/>
      <protection locked="0"/>
    </xf>
    <xf numFmtId="0" fontId="0" fillId="0" borderId="0" xfId="50" applyFont="1" applyBorder="1" applyAlignment="1" applyProtection="1">
      <alignment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50" applyFont="1" applyBorder="1" applyAlignment="1" applyProtection="1">
      <alignment horizontal="center" vertical="center"/>
      <protection/>
    </xf>
    <xf numFmtId="0" fontId="29" fillId="13" borderId="0" xfId="50" applyNumberFormat="1" applyFont="1" applyFill="1" applyBorder="1" applyAlignment="1" applyProtection="1">
      <alignment horizontal="center" vertical="center"/>
      <protection locked="0"/>
    </xf>
    <xf numFmtId="0" fontId="29" fillId="2" borderId="0" xfId="5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NumberFormat="1" applyFont="1" applyFill="1" applyBorder="1" applyAlignment="1" applyProtection="1">
      <alignment horizontal="center" wrapText="1"/>
      <protection/>
    </xf>
    <xf numFmtId="0" fontId="11" fillId="33" borderId="16" xfId="0" applyNumberFormat="1" applyFont="1" applyFill="1" applyBorder="1" applyAlignment="1" applyProtection="1">
      <alignment horizontal="center" wrapText="1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23" xfId="50" applyNumberFormat="1" applyFont="1" applyFill="1" applyBorder="1" applyAlignment="1" applyProtection="1">
      <alignment horizontal="center" vertical="center" wrapText="1"/>
      <protection/>
    </xf>
    <xf numFmtId="0" fontId="11" fillId="33" borderId="12" xfId="50" applyNumberFormat="1" applyFont="1" applyFill="1" applyBorder="1" applyAlignment="1" applyProtection="1">
      <alignment horizontal="center" vertical="center" wrapText="1"/>
      <protection/>
    </xf>
    <xf numFmtId="0" fontId="11" fillId="33" borderId="24" xfId="50" applyNumberFormat="1" applyFont="1" applyFill="1" applyBorder="1" applyAlignment="1" applyProtection="1">
      <alignment horizontal="center" vertical="center" wrapText="1"/>
      <protection/>
    </xf>
    <xf numFmtId="0" fontId="11" fillId="33" borderId="11" xfId="50" applyNumberFormat="1" applyFont="1" applyFill="1" applyBorder="1" applyAlignment="1" applyProtection="1">
      <alignment horizontal="center" vertical="center" wrapText="1"/>
      <protection/>
    </xf>
    <xf numFmtId="0" fontId="11" fillId="33" borderId="27" xfId="50" applyNumberFormat="1" applyFont="1" applyFill="1" applyBorder="1" applyAlignment="1" applyProtection="1">
      <alignment horizontal="center" vertical="center" wrapText="1"/>
      <protection/>
    </xf>
    <xf numFmtId="0" fontId="11" fillId="33" borderId="15" xfId="5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/>
      <protection/>
    </xf>
    <xf numFmtId="0" fontId="11" fillId="33" borderId="14" xfId="0" applyNumberFormat="1" applyFont="1" applyFill="1" applyBorder="1" applyAlignment="1" applyProtection="1">
      <alignment horizontal="center"/>
      <protection/>
    </xf>
    <xf numFmtId="0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33" borderId="17" xfId="0" applyNumberFormat="1" applyFont="1" applyFill="1" applyBorder="1" applyAlignment="1" applyProtection="1">
      <alignment horizontal="center" vertical="center" wrapText="1"/>
      <protection/>
    </xf>
    <xf numFmtId="43" fontId="6" fillId="10" borderId="24" xfId="68" applyFont="1" applyFill="1" applyBorder="1" applyAlignment="1" applyProtection="1">
      <alignment horizontal="center"/>
      <protection/>
    </xf>
    <xf numFmtId="43" fontId="6" fillId="10" borderId="11" xfId="68" applyFont="1" applyFill="1" applyBorder="1" applyAlignment="1" applyProtection="1">
      <alignment horizontal="center"/>
      <protection/>
    </xf>
    <xf numFmtId="43" fontId="6" fillId="0" borderId="25" xfId="68" applyFont="1" applyFill="1" applyBorder="1" applyAlignment="1" applyProtection="1">
      <alignment horizontal="center"/>
      <protection/>
    </xf>
    <xf numFmtId="43" fontId="6" fillId="0" borderId="14" xfId="68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15" xfId="0" applyNumberFormat="1" applyFont="1" applyFill="1" applyBorder="1" applyAlignment="1" applyProtection="1">
      <alignment horizontal="center" vertical="center"/>
      <protection/>
    </xf>
    <xf numFmtId="43" fontId="6" fillId="0" borderId="19" xfId="68" applyFont="1" applyFill="1" applyBorder="1" applyAlignment="1" applyProtection="1">
      <alignment horizontal="center"/>
      <protection/>
    </xf>
    <xf numFmtId="43" fontId="6" fillId="37" borderId="25" xfId="68" applyFont="1" applyFill="1" applyBorder="1" applyAlignment="1" applyProtection="1">
      <alignment horizontal="center"/>
      <protection/>
    </xf>
    <xf numFmtId="43" fontId="6" fillId="37" borderId="14" xfId="68" applyFont="1" applyFill="1" applyBorder="1" applyAlignment="1" applyProtection="1">
      <alignment horizontal="center"/>
      <protection/>
    </xf>
    <xf numFmtId="43" fontId="6" fillId="39" borderId="24" xfId="68" applyFont="1" applyFill="1" applyBorder="1" applyAlignment="1" applyProtection="1">
      <alignment horizontal="center"/>
      <protection locked="0"/>
    </xf>
    <xf numFmtId="43" fontId="6" fillId="39" borderId="11" xfId="68" applyFont="1" applyFill="1" applyBorder="1" applyAlignment="1" applyProtection="1">
      <alignment horizontal="center"/>
      <protection locked="0"/>
    </xf>
    <xf numFmtId="43" fontId="6" fillId="4" borderId="24" xfId="68" applyFont="1" applyFill="1" applyBorder="1" applyAlignment="1" applyProtection="1">
      <alignment horizontal="center"/>
      <protection/>
    </xf>
    <xf numFmtId="43" fontId="6" fillId="4" borderId="11" xfId="68" applyFont="1" applyFill="1" applyBorder="1" applyAlignment="1" applyProtection="1">
      <alignment horizontal="center"/>
      <protection/>
    </xf>
    <xf numFmtId="43" fontId="11" fillId="39" borderId="24" xfId="68" applyFont="1" applyFill="1" applyBorder="1" applyAlignment="1" applyProtection="1">
      <alignment horizontal="center"/>
      <protection locked="0"/>
    </xf>
    <xf numFmtId="43" fontId="11" fillId="39" borderId="11" xfId="68" applyFont="1" applyFill="1" applyBorder="1" applyAlignment="1" applyProtection="1">
      <alignment horizontal="center"/>
      <protection locked="0"/>
    </xf>
    <xf numFmtId="43" fontId="6" fillId="16" borderId="23" xfId="68" applyFont="1" applyFill="1" applyBorder="1" applyAlignment="1" applyProtection="1">
      <alignment horizontal="center"/>
      <protection/>
    </xf>
    <xf numFmtId="43" fontId="6" fillId="16" borderId="12" xfId="68" applyFont="1" applyFill="1" applyBorder="1" applyAlignment="1" applyProtection="1">
      <alignment horizontal="center"/>
      <protection/>
    </xf>
    <xf numFmtId="43" fontId="6" fillId="16" borderId="24" xfId="68" applyFont="1" applyFill="1" applyBorder="1" applyAlignment="1" applyProtection="1">
      <alignment horizontal="center"/>
      <protection/>
    </xf>
    <xf numFmtId="43" fontId="6" fillId="16" borderId="11" xfId="68" applyFont="1" applyFill="1" applyBorder="1" applyAlignment="1" applyProtection="1">
      <alignment horizontal="center"/>
      <protection/>
    </xf>
    <xf numFmtId="43" fontId="6" fillId="39" borderId="25" xfId="68" applyFont="1" applyFill="1" applyBorder="1" applyAlignment="1" applyProtection="1">
      <alignment horizontal="center"/>
      <protection locked="0"/>
    </xf>
    <xf numFmtId="43" fontId="6" fillId="39" borderId="14" xfId="68" applyFont="1" applyFill="1" applyBorder="1" applyAlignment="1" applyProtection="1">
      <alignment horizontal="center"/>
      <protection locked="0"/>
    </xf>
    <xf numFmtId="43" fontId="6" fillId="39" borderId="25" xfId="68" applyFont="1" applyFill="1" applyBorder="1" applyAlignment="1" applyProtection="1">
      <alignment horizontal="center" vertical="center"/>
      <protection locked="0"/>
    </xf>
    <xf numFmtId="43" fontId="6" fillId="39" borderId="14" xfId="68" applyFont="1" applyFill="1" applyBorder="1" applyAlignment="1" applyProtection="1">
      <alignment horizontal="center" vertical="center"/>
      <protection locked="0"/>
    </xf>
    <xf numFmtId="43" fontId="6" fillId="39" borderId="24" xfId="68" applyFont="1" applyFill="1" applyBorder="1" applyAlignment="1" applyProtection="1">
      <alignment horizontal="center" vertical="center"/>
      <protection locked="0"/>
    </xf>
    <xf numFmtId="43" fontId="6" fillId="39" borderId="11" xfId="68" applyFont="1" applyFill="1" applyBorder="1" applyAlignment="1" applyProtection="1">
      <alignment horizontal="center" vertical="center"/>
      <protection locked="0"/>
    </xf>
    <xf numFmtId="43" fontId="6" fillId="16" borderId="27" xfId="68" applyFont="1" applyFill="1" applyBorder="1" applyAlignment="1" applyProtection="1">
      <alignment horizontal="center"/>
      <protection/>
    </xf>
    <xf numFmtId="43" fontId="6" fillId="16" borderId="15" xfId="68" applyFont="1" applyFill="1" applyBorder="1" applyAlignment="1" applyProtection="1">
      <alignment horizontal="center"/>
      <protection/>
    </xf>
    <xf numFmtId="43" fontId="6" fillId="39" borderId="27" xfId="68" applyFont="1" applyFill="1" applyBorder="1" applyAlignment="1" applyProtection="1">
      <alignment horizontal="center"/>
      <protection locked="0"/>
    </xf>
    <xf numFmtId="43" fontId="6" fillId="39" borderId="15" xfId="68" applyFont="1" applyFill="1" applyBorder="1" applyAlignment="1" applyProtection="1">
      <alignment horizontal="center"/>
      <protection locked="0"/>
    </xf>
    <xf numFmtId="43" fontId="6" fillId="4" borderId="16" xfId="68" applyFont="1" applyFill="1" applyBorder="1" applyAlignment="1" applyProtection="1">
      <alignment horizontal="center"/>
      <protection/>
    </xf>
    <xf numFmtId="43" fontId="6" fillId="10" borderId="23" xfId="68" applyFont="1" applyFill="1" applyBorder="1" applyAlignment="1" applyProtection="1">
      <alignment horizontal="center"/>
      <protection/>
    </xf>
    <xf numFmtId="43" fontId="6" fillId="10" borderId="12" xfId="68" applyFont="1" applyFill="1" applyBorder="1" applyAlignment="1" applyProtection="1">
      <alignment horizontal="center"/>
      <protection/>
    </xf>
    <xf numFmtId="43" fontId="6" fillId="33" borderId="25" xfId="68" applyFont="1" applyFill="1" applyBorder="1" applyAlignment="1" applyProtection="1">
      <alignment horizontal="center"/>
      <protection/>
    </xf>
    <xf numFmtId="43" fontId="6" fillId="33" borderId="14" xfId="68" applyFont="1" applyFill="1" applyBorder="1" applyAlignment="1" applyProtection="1">
      <alignment horizontal="center"/>
      <protection/>
    </xf>
    <xf numFmtId="49" fontId="11" fillId="33" borderId="23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33" borderId="24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center" wrapText="1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49" fontId="11" fillId="33" borderId="24" xfId="0" applyNumberFormat="1" applyFont="1" applyFill="1" applyBorder="1" applyAlignment="1" applyProtection="1">
      <alignment horizontal="center"/>
      <protection/>
    </xf>
    <xf numFmtId="49" fontId="11" fillId="33" borderId="11" xfId="0" applyNumberFormat="1" applyFont="1" applyFill="1" applyBorder="1" applyAlignment="1" applyProtection="1">
      <alignment horizontal="center"/>
      <protection/>
    </xf>
    <xf numFmtId="49" fontId="11" fillId="33" borderId="23" xfId="0" applyNumberFormat="1" applyFont="1" applyFill="1" applyBorder="1" applyAlignment="1" applyProtection="1">
      <alignment horizontal="center"/>
      <protection/>
    </xf>
    <xf numFmtId="49" fontId="11" fillId="33" borderId="12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1" fillId="33" borderId="25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49" fontId="11" fillId="33" borderId="27" xfId="0" applyNumberFormat="1" applyFont="1" applyFill="1" applyBorder="1" applyAlignment="1" applyProtection="1">
      <alignment horizontal="center"/>
      <protection/>
    </xf>
    <xf numFmtId="49" fontId="11" fillId="33" borderId="15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49" fontId="11" fillId="33" borderId="27" xfId="0" applyNumberFormat="1" applyFont="1" applyFill="1" applyBorder="1" applyAlignment="1" applyProtection="1">
      <alignment horizontal="center" vertical="center" wrapText="1"/>
      <protection/>
    </xf>
    <xf numFmtId="49" fontId="11" fillId="33" borderId="15" xfId="0" applyNumberFormat="1" applyFont="1" applyFill="1" applyBorder="1" applyAlignment="1" applyProtection="1">
      <alignment horizontal="center" vertical="center" wrapText="1"/>
      <protection/>
    </xf>
    <xf numFmtId="49" fontId="11" fillId="33" borderId="18" xfId="0" applyNumberFormat="1" applyFont="1" applyFill="1" applyBorder="1" applyAlignment="1" applyProtection="1">
      <alignment horizontal="center" vertical="center"/>
      <protection/>
    </xf>
    <xf numFmtId="49" fontId="11" fillId="33" borderId="16" xfId="0" applyNumberFormat="1" applyFont="1" applyFill="1" applyBorder="1" applyAlignment="1" applyProtection="1">
      <alignment horizontal="center" vertical="center"/>
      <protection/>
    </xf>
    <xf numFmtId="0" fontId="105" fillId="0" borderId="0" xfId="0" applyNumberFormat="1" applyFont="1" applyFill="1" applyBorder="1" applyAlignment="1" applyProtection="1">
      <alignment horizont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12" fillId="0" borderId="0" xfId="0" applyFont="1" applyFill="1" applyBorder="1" applyAlignment="1" applyProtection="1">
      <alignment horizontal="left" vertical="center" wrapText="1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8" xfId="50" applyNumberFormat="1" applyFont="1" applyFill="1" applyBorder="1" applyAlignment="1" applyProtection="1">
      <alignment horizontal="center" wrapText="1"/>
      <protection/>
    </xf>
    <xf numFmtId="0" fontId="11" fillId="33" borderId="16" xfId="50" applyNumberFormat="1" applyFont="1" applyFill="1" applyBorder="1" applyAlignment="1" applyProtection="1">
      <alignment horizontal="center" wrapText="1"/>
      <protection/>
    </xf>
    <xf numFmtId="0" fontId="11" fillId="33" borderId="17" xfId="50" applyNumberFormat="1" applyFont="1" applyFill="1" applyBorder="1" applyAlignment="1" applyProtection="1">
      <alignment horizontal="center" wrapText="1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37" fontId="11" fillId="33" borderId="23" xfId="0" applyNumberFormat="1" applyFont="1" applyFill="1" applyBorder="1" applyAlignment="1" applyProtection="1">
      <alignment horizontal="center" vertical="center"/>
      <protection/>
    </xf>
    <xf numFmtId="37" fontId="11" fillId="33" borderId="26" xfId="0" applyNumberFormat="1" applyFont="1" applyFill="1" applyBorder="1" applyAlignment="1" applyProtection="1">
      <alignment horizontal="center" vertical="center"/>
      <protection/>
    </xf>
    <xf numFmtId="37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35" fillId="33" borderId="18" xfId="0" applyNumberFormat="1" applyFont="1" applyFill="1" applyBorder="1" applyAlignment="1" applyProtection="1">
      <alignment horizontal="center" vertical="center" wrapText="1"/>
      <protection/>
    </xf>
    <xf numFmtId="49" fontId="35" fillId="33" borderId="16" xfId="0" applyNumberFormat="1" applyFont="1" applyFill="1" applyBorder="1" applyAlignment="1" applyProtection="1">
      <alignment horizontal="center" vertical="center" wrapText="1"/>
      <protection/>
    </xf>
    <xf numFmtId="49" fontId="35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33" borderId="23" xfId="0" applyFont="1" applyFill="1" applyBorder="1" applyAlignment="1" applyProtection="1">
      <alignment horizontal="center" vertical="center" wrapText="1"/>
      <protection/>
    </xf>
    <xf numFmtId="0" fontId="35" fillId="33" borderId="24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43" fontId="6" fillId="0" borderId="19" xfId="68" applyFont="1" applyFill="1" applyBorder="1" applyAlignment="1" applyProtection="1">
      <alignment horizontal="center" vertical="center" wrapText="1"/>
      <protection/>
    </xf>
    <xf numFmtId="43" fontId="6" fillId="13" borderId="24" xfId="68" applyFont="1" applyFill="1" applyBorder="1" applyAlignment="1" applyProtection="1">
      <alignment horizontal="center" wrapText="1"/>
      <protection locked="0"/>
    </xf>
    <xf numFmtId="43" fontId="6" fillId="13" borderId="0" xfId="68" applyFont="1" applyFill="1" applyBorder="1" applyAlignment="1" applyProtection="1">
      <alignment horizontal="center" wrapText="1"/>
      <protection locked="0"/>
    </xf>
    <xf numFmtId="43" fontId="6" fillId="13" borderId="11" xfId="68" applyFont="1" applyFill="1" applyBorder="1" applyAlignment="1" applyProtection="1">
      <alignment horizontal="center" wrapText="1"/>
      <protection locked="0"/>
    </xf>
    <xf numFmtId="43" fontId="6" fillId="13" borderId="24" xfId="68" applyFont="1" applyFill="1" applyBorder="1" applyAlignment="1" applyProtection="1">
      <alignment horizontal="center"/>
      <protection locked="0"/>
    </xf>
    <xf numFmtId="43" fontId="6" fillId="13" borderId="11" xfId="68" applyFont="1" applyFill="1" applyBorder="1" applyAlignment="1" applyProtection="1">
      <alignment horizontal="center"/>
      <protection locked="0"/>
    </xf>
    <xf numFmtId="43" fontId="6" fillId="0" borderId="24" xfId="68" applyFont="1" applyFill="1" applyBorder="1" applyAlignment="1" applyProtection="1">
      <alignment horizontal="center" wrapText="1"/>
      <protection/>
    </xf>
    <xf numFmtId="43" fontId="6" fillId="0" borderId="0" xfId="68" applyFont="1" applyFill="1" applyBorder="1" applyAlignment="1" applyProtection="1">
      <alignment horizontal="center" wrapText="1"/>
      <protection/>
    </xf>
    <xf numFmtId="43" fontId="6" fillId="0" borderId="11" xfId="68" applyFont="1" applyFill="1" applyBorder="1" applyAlignment="1" applyProtection="1">
      <alignment horizontal="center" wrapText="1"/>
      <protection/>
    </xf>
    <xf numFmtId="43" fontId="6" fillId="4" borderId="24" xfId="68" applyFont="1" applyFill="1" applyBorder="1" applyAlignment="1" applyProtection="1">
      <alignment horizontal="center" wrapText="1"/>
      <protection/>
    </xf>
    <xf numFmtId="43" fontId="6" fillId="4" borderId="0" xfId="68" applyFont="1" applyFill="1" applyBorder="1" applyAlignment="1" applyProtection="1">
      <alignment horizontal="center" wrapText="1"/>
      <protection/>
    </xf>
    <xf numFmtId="43" fontId="6" fillId="4" borderId="11" xfId="68" applyFont="1" applyFill="1" applyBorder="1" applyAlignment="1" applyProtection="1">
      <alignment horizontal="center" wrapText="1"/>
      <protection/>
    </xf>
    <xf numFmtId="43" fontId="6" fillId="16" borderId="24" xfId="68" applyFont="1" applyFill="1" applyBorder="1" applyAlignment="1" applyProtection="1">
      <alignment horizontal="center" wrapText="1"/>
      <protection/>
    </xf>
    <xf numFmtId="43" fontId="6" fillId="16" borderId="11" xfId="68" applyFont="1" applyFill="1" applyBorder="1" applyAlignment="1" applyProtection="1">
      <alignment horizontal="center" wrapText="1"/>
      <protection/>
    </xf>
    <xf numFmtId="43" fontId="6" fillId="10" borderId="24" xfId="68" applyFont="1" applyFill="1" applyBorder="1" applyAlignment="1" applyProtection="1">
      <alignment horizontal="center" wrapText="1"/>
      <protection/>
    </xf>
    <xf numFmtId="43" fontId="6" fillId="10" borderId="0" xfId="68" applyFont="1" applyFill="1" applyBorder="1" applyAlignment="1" applyProtection="1">
      <alignment horizontal="center" wrapText="1"/>
      <protection/>
    </xf>
    <xf numFmtId="43" fontId="6" fillId="10" borderId="11" xfId="68" applyFont="1" applyFill="1" applyBorder="1" applyAlignment="1" applyProtection="1">
      <alignment horizontal="center" wrapText="1"/>
      <protection/>
    </xf>
    <xf numFmtId="43" fontId="6" fillId="4" borderId="24" xfId="68" applyFont="1" applyFill="1" applyBorder="1" applyAlignment="1" applyProtection="1">
      <alignment horizontal="center" vertical="center"/>
      <protection/>
    </xf>
    <xf numFmtId="43" fontId="6" fillId="4" borderId="0" xfId="68" applyFont="1" applyFill="1" applyBorder="1" applyAlignment="1" applyProtection="1">
      <alignment horizontal="center" vertical="center"/>
      <protection/>
    </xf>
    <xf numFmtId="43" fontId="6" fillId="4" borderId="11" xfId="68" applyFont="1" applyFill="1" applyBorder="1" applyAlignment="1" applyProtection="1">
      <alignment horizontal="center" vertical="center"/>
      <protection/>
    </xf>
    <xf numFmtId="43" fontId="6" fillId="0" borderId="23" xfId="68" applyFont="1" applyBorder="1" applyAlignment="1" applyProtection="1">
      <alignment horizontal="center" vertical="top" wrapText="1"/>
      <protection/>
    </xf>
    <xf numFmtId="43" fontId="6" fillId="0" borderId="26" xfId="68" applyFont="1" applyBorder="1" applyAlignment="1" applyProtection="1">
      <alignment horizontal="center" vertical="top" wrapText="1"/>
      <protection/>
    </xf>
    <xf numFmtId="43" fontId="6" fillId="0" borderId="12" xfId="68" applyFont="1" applyBorder="1" applyAlignment="1" applyProtection="1">
      <alignment horizontal="center" vertical="top" wrapText="1"/>
      <protection/>
    </xf>
    <xf numFmtId="43" fontId="6" fillId="13" borderId="24" xfId="68" applyFont="1" applyFill="1" applyBorder="1" applyAlignment="1" applyProtection="1">
      <alignment horizontal="center" vertical="top" wrapText="1"/>
      <protection locked="0"/>
    </xf>
    <xf numFmtId="43" fontId="6" fillId="13" borderId="0" xfId="68" applyFont="1" applyFill="1" applyBorder="1" applyAlignment="1" applyProtection="1">
      <alignment horizontal="center" vertical="top" wrapText="1"/>
      <protection locked="0"/>
    </xf>
    <xf numFmtId="43" fontId="6" fillId="13" borderId="11" xfId="68" applyFont="1" applyFill="1" applyBorder="1" applyAlignment="1" applyProtection="1">
      <alignment horizontal="center" vertical="top" wrapText="1"/>
      <protection locked="0"/>
    </xf>
    <xf numFmtId="43" fontId="6" fillId="13" borderId="27" xfId="68" applyFont="1" applyFill="1" applyBorder="1" applyAlignment="1" applyProtection="1">
      <alignment horizontal="center" vertical="center"/>
      <protection locked="0"/>
    </xf>
    <xf numFmtId="43" fontId="6" fillId="13" borderId="15" xfId="68" applyFont="1" applyFill="1" applyBorder="1" applyAlignment="1" applyProtection="1">
      <alignment horizontal="center" vertical="center"/>
      <protection locked="0"/>
    </xf>
    <xf numFmtId="43" fontId="6" fillId="13" borderId="24" xfId="68" applyFont="1" applyFill="1" applyBorder="1" applyAlignment="1" applyProtection="1">
      <alignment horizontal="center" vertical="center"/>
      <protection locked="0"/>
    </xf>
    <xf numFmtId="43" fontId="6" fillId="13" borderId="11" xfId="68" applyFont="1" applyFill="1" applyBorder="1" applyAlignment="1" applyProtection="1">
      <alignment horizontal="center" vertical="center"/>
      <protection locked="0"/>
    </xf>
    <xf numFmtId="43" fontId="6" fillId="0" borderId="23" xfId="68" applyFont="1" applyFill="1" applyBorder="1" applyAlignment="1" applyProtection="1">
      <alignment horizontal="center" vertical="center"/>
      <protection/>
    </xf>
    <xf numFmtId="43" fontId="6" fillId="0" borderId="12" xfId="68" applyFont="1" applyFill="1" applyBorder="1" applyAlignment="1" applyProtection="1">
      <alignment horizontal="center" vertical="center"/>
      <protection/>
    </xf>
    <xf numFmtId="43" fontId="6" fillId="10" borderId="24" xfId="68" applyFont="1" applyFill="1" applyBorder="1" applyAlignment="1" applyProtection="1">
      <alignment horizontal="center" vertical="center"/>
      <protection/>
    </xf>
    <xf numFmtId="43" fontId="6" fillId="10" borderId="11" xfId="68" applyFont="1" applyFill="1" applyBorder="1" applyAlignment="1" applyProtection="1">
      <alignment horizontal="center" vertical="center"/>
      <protection/>
    </xf>
    <xf numFmtId="43" fontId="6" fillId="33" borderId="25" xfId="68" applyFont="1" applyFill="1" applyBorder="1" applyAlignment="1" applyProtection="1">
      <alignment horizontal="center" wrapText="1"/>
      <protection/>
    </xf>
    <xf numFmtId="43" fontId="6" fillId="33" borderId="14" xfId="68" applyFont="1" applyFill="1" applyBorder="1" applyAlignment="1" applyProtection="1">
      <alignment horizontal="center" wrapText="1"/>
      <protection/>
    </xf>
    <xf numFmtId="43" fontId="11" fillId="33" borderId="25" xfId="68" applyFont="1" applyFill="1" applyBorder="1" applyAlignment="1" applyProtection="1">
      <alignment horizontal="center"/>
      <protection/>
    </xf>
    <xf numFmtId="43" fontId="11" fillId="33" borderId="10" xfId="68" applyFont="1" applyFill="1" applyBorder="1" applyAlignment="1" applyProtection="1">
      <alignment horizontal="center"/>
      <protection/>
    </xf>
    <xf numFmtId="43" fontId="11" fillId="33" borderId="14" xfId="68" applyFont="1" applyFill="1" applyBorder="1" applyAlignment="1" applyProtection="1">
      <alignment horizontal="center"/>
      <protection/>
    </xf>
    <xf numFmtId="43" fontId="6" fillId="16" borderId="0" xfId="68" applyFont="1" applyFill="1" applyBorder="1" applyAlignment="1" applyProtection="1">
      <alignment horizontal="center" wrapText="1"/>
      <protection/>
    </xf>
    <xf numFmtId="43" fontId="6" fillId="0" borderId="23" xfId="68" applyFont="1" applyFill="1" applyBorder="1" applyAlignment="1" applyProtection="1">
      <alignment horizontal="center"/>
      <protection/>
    </xf>
    <xf numFmtId="43" fontId="6" fillId="0" borderId="12" xfId="68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43" fontId="6" fillId="13" borderId="27" xfId="68" applyFont="1" applyFill="1" applyBorder="1" applyAlignment="1" applyProtection="1">
      <alignment horizontal="center"/>
      <protection locked="0"/>
    </xf>
    <xf numFmtId="43" fontId="6" fillId="13" borderId="15" xfId="68" applyFont="1" applyFill="1" applyBorder="1" applyAlignment="1" applyProtection="1">
      <alignment horizontal="center"/>
      <protection locked="0"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3" fontId="6" fillId="13" borderId="23" xfId="68" applyFont="1" applyFill="1" applyBorder="1" applyAlignment="1" applyProtection="1">
      <alignment horizontal="center" vertical="top" wrapText="1"/>
      <protection locked="0"/>
    </xf>
    <xf numFmtId="43" fontId="6" fillId="13" borderId="26" xfId="68" applyFont="1" applyFill="1" applyBorder="1" applyAlignment="1" applyProtection="1">
      <alignment horizontal="center" vertical="top" wrapText="1"/>
      <protection locked="0"/>
    </xf>
    <xf numFmtId="43" fontId="6" fillId="13" borderId="12" xfId="68" applyFont="1" applyFill="1" applyBorder="1" applyAlignment="1" applyProtection="1">
      <alignment horizontal="center" vertical="top" wrapText="1"/>
      <protection locked="0"/>
    </xf>
    <xf numFmtId="43" fontId="6" fillId="13" borderId="27" xfId="68" applyFont="1" applyFill="1" applyBorder="1" applyAlignment="1" applyProtection="1">
      <alignment horizontal="center" vertical="top" wrapText="1"/>
      <protection locked="0"/>
    </xf>
    <xf numFmtId="43" fontId="6" fillId="13" borderId="13" xfId="68" applyFont="1" applyFill="1" applyBorder="1" applyAlignment="1" applyProtection="1">
      <alignment horizontal="center" vertical="top" wrapText="1"/>
      <protection locked="0"/>
    </xf>
    <xf numFmtId="43" fontId="6" fillId="13" borderId="15" xfId="68" applyFont="1" applyFill="1" applyBorder="1" applyAlignment="1" applyProtection="1">
      <alignment horizontal="center" vertical="top" wrapText="1"/>
      <protection locked="0"/>
    </xf>
    <xf numFmtId="43" fontId="6" fillId="13" borderId="27" xfId="68" applyFont="1" applyFill="1" applyBorder="1" applyAlignment="1" applyProtection="1">
      <alignment horizontal="center" wrapText="1"/>
      <protection locked="0"/>
    </xf>
    <xf numFmtId="43" fontId="6" fillId="13" borderId="13" xfId="68" applyFont="1" applyFill="1" applyBorder="1" applyAlignment="1" applyProtection="1">
      <alignment horizontal="center" wrapText="1"/>
      <protection locked="0"/>
    </xf>
    <xf numFmtId="43" fontId="6" fillId="13" borderId="15" xfId="68" applyFont="1" applyFill="1" applyBorder="1" applyAlignment="1" applyProtection="1">
      <alignment horizontal="center" wrapText="1"/>
      <protection locked="0"/>
    </xf>
    <xf numFmtId="43" fontId="6" fillId="0" borderId="25" xfId="68" applyFont="1" applyBorder="1" applyAlignment="1" applyProtection="1">
      <alignment horizontal="center" vertical="top" wrapText="1"/>
      <protection/>
    </xf>
    <xf numFmtId="43" fontId="6" fillId="0" borderId="10" xfId="68" applyFont="1" applyBorder="1" applyAlignment="1" applyProtection="1">
      <alignment horizontal="center" vertical="top" wrapText="1"/>
      <protection/>
    </xf>
    <xf numFmtId="43" fontId="6" fillId="0" borderId="14" xfId="68" applyFont="1" applyBorder="1" applyAlignment="1" applyProtection="1">
      <alignment horizontal="center" vertical="top" wrapText="1"/>
      <protection/>
    </xf>
    <xf numFmtId="43" fontId="6" fillId="33" borderId="25" xfId="68" applyFont="1" applyFill="1" applyBorder="1" applyAlignment="1" applyProtection="1">
      <alignment horizontal="center" vertical="center"/>
      <protection/>
    </xf>
    <xf numFmtId="43" fontId="6" fillId="33" borderId="14" xfId="68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wrapText="1"/>
      <protection/>
    </xf>
    <xf numFmtId="0" fontId="11" fillId="33" borderId="26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43" fontId="6" fillId="33" borderId="25" xfId="68" applyFont="1" applyFill="1" applyBorder="1" applyAlignment="1" applyProtection="1">
      <alignment horizontal="center" vertical="center" wrapText="1"/>
      <protection/>
    </xf>
    <xf numFmtId="43" fontId="6" fillId="33" borderId="14" xfId="68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left"/>
      <protection/>
    </xf>
    <xf numFmtId="43" fontId="6" fillId="0" borderId="26" xfId="68" applyFont="1" applyFill="1" applyBorder="1" applyAlignment="1" applyProtection="1">
      <alignment horizontal="center"/>
      <protection/>
    </xf>
    <xf numFmtId="43" fontId="6" fillId="13" borderId="23" xfId="68" applyFont="1" applyFill="1" applyBorder="1" applyAlignment="1" applyProtection="1">
      <alignment horizontal="center" wrapText="1"/>
      <protection locked="0"/>
    </xf>
    <xf numFmtId="43" fontId="6" fillId="13" borderId="26" xfId="68" applyFont="1" applyFill="1" applyBorder="1" applyAlignment="1" applyProtection="1">
      <alignment horizontal="center" wrapText="1"/>
      <protection locked="0"/>
    </xf>
    <xf numFmtId="43" fontId="6" fillId="13" borderId="12" xfId="68" applyFont="1" applyFill="1" applyBorder="1" applyAlignment="1" applyProtection="1">
      <alignment horizontal="center" wrapText="1"/>
      <protection locked="0"/>
    </xf>
    <xf numFmtId="37" fontId="11" fillId="33" borderId="23" xfId="0" applyNumberFormat="1" applyFont="1" applyFill="1" applyBorder="1" applyAlignment="1" applyProtection="1">
      <alignment horizontal="center" vertical="center" wrapText="1"/>
      <protection/>
    </xf>
    <xf numFmtId="37" fontId="11" fillId="33" borderId="12" xfId="0" applyNumberFormat="1" applyFont="1" applyFill="1" applyBorder="1" applyAlignment="1" applyProtection="1">
      <alignment horizontal="center" vertical="center" wrapText="1"/>
      <protection/>
    </xf>
    <xf numFmtId="37" fontId="11" fillId="33" borderId="24" xfId="0" applyNumberFormat="1" applyFont="1" applyFill="1" applyBorder="1" applyAlignment="1" applyProtection="1">
      <alignment horizontal="center" vertical="center" wrapText="1"/>
      <protection/>
    </xf>
    <xf numFmtId="37" fontId="11" fillId="33" borderId="11" xfId="0" applyNumberFormat="1" applyFont="1" applyFill="1" applyBorder="1" applyAlignment="1" applyProtection="1">
      <alignment horizontal="center" vertical="center" wrapText="1"/>
      <protection/>
    </xf>
    <xf numFmtId="37" fontId="11" fillId="33" borderId="27" xfId="0" applyNumberFormat="1" applyFont="1" applyFill="1" applyBorder="1" applyAlignment="1" applyProtection="1">
      <alignment horizontal="center" vertical="center" wrapText="1"/>
      <protection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0" fontId="11" fillId="41" borderId="27" xfId="0" applyFont="1" applyFill="1" applyBorder="1" applyAlignment="1" applyProtection="1">
      <alignment horizontal="center" vertical="center" wrapText="1"/>
      <protection/>
    </xf>
    <xf numFmtId="0" fontId="11" fillId="41" borderId="15" xfId="0" applyFont="1" applyFill="1" applyBorder="1" applyAlignment="1" applyProtection="1">
      <alignment horizontal="center" vertical="center" wrapText="1"/>
      <protection/>
    </xf>
    <xf numFmtId="0" fontId="108" fillId="0" borderId="10" xfId="0" applyNumberFormat="1" applyFont="1" applyFill="1" applyBorder="1" applyAlignment="1" applyProtection="1">
      <alignment horizontal="center"/>
      <protection/>
    </xf>
    <xf numFmtId="0" fontId="108" fillId="0" borderId="0" xfId="0" applyNumberFormat="1" applyFont="1" applyFill="1" applyBorder="1" applyAlignment="1" applyProtection="1">
      <alignment horizontal="center"/>
      <protection/>
    </xf>
    <xf numFmtId="43" fontId="6" fillId="0" borderId="24" xfId="68" applyFont="1" applyFill="1" applyBorder="1" applyAlignment="1" applyProtection="1">
      <alignment horizontal="center"/>
      <protection/>
    </xf>
    <xf numFmtId="43" fontId="6" fillId="0" borderId="11" xfId="68" applyFont="1" applyFill="1" applyBorder="1" applyAlignment="1" applyProtection="1">
      <alignment horizontal="center"/>
      <protection/>
    </xf>
    <xf numFmtId="49" fontId="6" fillId="33" borderId="23" xfId="0" applyNumberFormat="1" applyFont="1" applyFill="1" applyBorder="1" applyAlignment="1" applyProtection="1">
      <alignment horizontal="center"/>
      <protection/>
    </xf>
    <xf numFmtId="49" fontId="6" fillId="33" borderId="12" xfId="0" applyNumberFormat="1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6" fillId="13" borderId="23" xfId="0" applyFont="1" applyFill="1" applyBorder="1" applyAlignment="1" applyProtection="1">
      <alignment horizontal="center" wrapText="1"/>
      <protection locked="0"/>
    </xf>
    <xf numFmtId="0" fontId="36" fillId="13" borderId="12" xfId="0" applyFont="1" applyFill="1" applyBorder="1" applyAlignment="1" applyProtection="1">
      <alignment horizontal="center" wrapText="1"/>
      <protection locked="0"/>
    </xf>
    <xf numFmtId="49" fontId="6" fillId="13" borderId="26" xfId="0" applyNumberFormat="1" applyFont="1" applyFill="1" applyBorder="1" applyAlignment="1" applyProtection="1">
      <alignment horizontal="center" wrapText="1"/>
      <protection locked="0"/>
    </xf>
    <xf numFmtId="49" fontId="6" fillId="13" borderId="12" xfId="0" applyNumberFormat="1" applyFont="1" applyFill="1" applyBorder="1" applyAlignment="1" applyProtection="1">
      <alignment horizontal="center" wrapText="1"/>
      <protection locked="0"/>
    </xf>
    <xf numFmtId="49" fontId="6" fillId="13" borderId="23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wrapText="1"/>
      <protection/>
    </xf>
    <xf numFmtId="0" fontId="6" fillId="33" borderId="12" xfId="0" applyFont="1" applyFill="1" applyBorder="1" applyAlignment="1" applyProtection="1">
      <alignment horizontal="center" wrapText="1"/>
      <protection/>
    </xf>
    <xf numFmtId="43" fontId="6" fillId="0" borderId="25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13" borderId="25" xfId="0" applyNumberFormat="1" applyFont="1" applyFill="1" applyBorder="1" applyAlignment="1" applyProtection="1">
      <alignment horizontal="center"/>
      <protection locked="0"/>
    </xf>
    <xf numFmtId="0" fontId="6" fillId="13" borderId="10" xfId="0" applyNumberFormat="1" applyFont="1" applyFill="1" applyBorder="1" applyAlignment="1" applyProtection="1">
      <alignment horizontal="center"/>
      <protection locked="0"/>
    </xf>
    <xf numFmtId="0" fontId="6" fillId="13" borderId="14" xfId="0" applyNumberFormat="1" applyFont="1" applyFill="1" applyBorder="1" applyAlignment="1" applyProtection="1">
      <alignment horizontal="center"/>
      <protection locked="0"/>
    </xf>
    <xf numFmtId="43" fontId="6" fillId="13" borderId="25" xfId="68" applyFont="1" applyFill="1" applyBorder="1" applyAlignment="1" applyProtection="1">
      <alignment horizontal="center" vertical="center"/>
      <protection locked="0"/>
    </xf>
    <xf numFmtId="43" fontId="6" fillId="13" borderId="10" xfId="68" applyFont="1" applyFill="1" applyBorder="1" applyAlignment="1" applyProtection="1">
      <alignment horizontal="center" vertical="center"/>
      <protection locked="0"/>
    </xf>
    <xf numFmtId="43" fontId="6" fillId="13" borderId="14" xfId="68" applyFont="1" applyFill="1" applyBorder="1" applyAlignment="1" applyProtection="1">
      <alignment horizontal="center" vertical="center"/>
      <protection locked="0"/>
    </xf>
    <xf numFmtId="43" fontId="6" fillId="0" borderId="27" xfId="68" applyFont="1" applyFill="1" applyBorder="1" applyAlignment="1" applyProtection="1">
      <alignment horizontal="center"/>
      <protection/>
    </xf>
    <xf numFmtId="43" fontId="6" fillId="0" borderId="13" xfId="68" applyFont="1" applyFill="1" applyBorder="1" applyAlignment="1" applyProtection="1">
      <alignment horizontal="center"/>
      <protection/>
    </xf>
    <xf numFmtId="43" fontId="6" fillId="0" borderId="15" xfId="68" applyFont="1" applyFill="1" applyBorder="1" applyAlignment="1" applyProtection="1">
      <alignment horizontal="center"/>
      <protection/>
    </xf>
    <xf numFmtId="0" fontId="35" fillId="0" borderId="10" xfId="0" applyNumberFormat="1" applyFont="1" applyFill="1" applyBorder="1" applyAlignment="1" applyProtection="1">
      <alignment horizontal="left" vertical="center"/>
      <protection/>
    </xf>
    <xf numFmtId="0" fontId="35" fillId="0" borderId="14" xfId="0" applyNumberFormat="1" applyFont="1" applyFill="1" applyBorder="1" applyAlignment="1" applyProtection="1">
      <alignment horizontal="left" vertical="center"/>
      <protection/>
    </xf>
    <xf numFmtId="43" fontId="6" fillId="13" borderId="0" xfId="68" applyFont="1" applyFill="1" applyBorder="1" applyAlignment="1" applyProtection="1">
      <alignment horizontal="center"/>
      <protection locked="0"/>
    </xf>
    <xf numFmtId="0" fontId="14" fillId="33" borderId="12" xfId="0" applyNumberFormat="1" applyFont="1" applyFill="1" applyBorder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 vertical="center"/>
      <protection/>
    </xf>
    <xf numFmtId="0" fontId="14" fillId="33" borderId="15" xfId="0" applyNumberFormat="1" applyFont="1" applyFill="1" applyBorder="1" applyAlignment="1" applyProtection="1">
      <alignment horizontal="center" vertical="center"/>
      <protection/>
    </xf>
    <xf numFmtId="43" fontId="6" fillId="0" borderId="0" xfId="68" applyFont="1" applyFill="1" applyBorder="1" applyAlignment="1" applyProtection="1">
      <alignment horizontal="center"/>
      <protection/>
    </xf>
    <xf numFmtId="0" fontId="11" fillId="13" borderId="27" xfId="0" applyFont="1" applyFill="1" applyBorder="1" applyAlignment="1" applyProtection="1">
      <alignment horizontal="center" wrapText="1"/>
      <protection locked="0"/>
    </xf>
    <xf numFmtId="0" fontId="11" fillId="13" borderId="15" xfId="0" applyFont="1" applyFill="1" applyBorder="1" applyAlignment="1" applyProtection="1">
      <alignment horizontal="center" wrapText="1"/>
      <protection locked="0"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3" fontId="14" fillId="33" borderId="23" xfId="0" applyNumberFormat="1" applyFont="1" applyFill="1" applyBorder="1" applyAlignment="1" applyProtection="1">
      <alignment horizontal="center" vertical="center"/>
      <protection/>
    </xf>
    <xf numFmtId="3" fontId="14" fillId="33" borderId="26" xfId="0" applyNumberFormat="1" applyFont="1" applyFill="1" applyBorder="1" applyAlignment="1" applyProtection="1">
      <alignment horizontal="center" vertical="center"/>
      <protection/>
    </xf>
    <xf numFmtId="3" fontId="14" fillId="33" borderId="12" xfId="0" applyNumberFormat="1" applyFont="1" applyFill="1" applyBorder="1" applyAlignment="1" applyProtection="1">
      <alignment horizontal="center" vertical="center"/>
      <protection/>
    </xf>
    <xf numFmtId="3" fontId="14" fillId="33" borderId="27" xfId="0" applyNumberFormat="1" applyFont="1" applyFill="1" applyBorder="1" applyAlignment="1" applyProtection="1">
      <alignment horizontal="center" vertical="center"/>
      <protection/>
    </xf>
    <xf numFmtId="3" fontId="14" fillId="33" borderId="13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left" vertical="center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24" fillId="33" borderId="14" xfId="0" applyFont="1" applyFill="1" applyBorder="1" applyAlignment="1" applyProtection="1">
      <alignment/>
      <protection/>
    </xf>
    <xf numFmtId="0" fontId="11" fillId="33" borderId="18" xfId="50" applyFont="1" applyFill="1" applyBorder="1" applyAlignment="1" applyProtection="1">
      <alignment horizontal="center" vertical="center"/>
      <protection/>
    </xf>
    <xf numFmtId="0" fontId="11" fillId="33" borderId="16" xfId="50" applyFont="1" applyFill="1" applyBorder="1" applyAlignment="1" applyProtection="1">
      <alignment horizontal="center" vertical="center"/>
      <protection/>
    </xf>
    <xf numFmtId="0" fontId="11" fillId="13" borderId="16" xfId="0" applyFont="1" applyFill="1" applyBorder="1" applyAlignment="1" applyProtection="1">
      <alignment horizontal="center" vertical="center" wrapText="1"/>
      <protection locked="0"/>
    </xf>
    <xf numFmtId="0" fontId="11" fillId="13" borderId="17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103" fillId="0" borderId="0" xfId="0" applyFont="1" applyFill="1" applyAlignment="1" applyProtection="1">
      <alignment horizontal="center" vertical="center" wrapText="1"/>
      <protection/>
    </xf>
    <xf numFmtId="0" fontId="113" fillId="0" borderId="0" xfId="0" applyFont="1" applyFill="1" applyAlignment="1" applyProtection="1">
      <alignment horizontal="left"/>
      <protection/>
    </xf>
    <xf numFmtId="0" fontId="11" fillId="0" borderId="0" xfId="50" applyFont="1" applyFill="1" applyAlignment="1" applyProtection="1">
      <alignment horizontal="left"/>
      <protection/>
    </xf>
    <xf numFmtId="0" fontId="6" fillId="33" borderId="23" xfId="50" applyFont="1" applyFill="1" applyBorder="1" applyAlignment="1" applyProtection="1">
      <alignment horizontal="center" vertical="center"/>
      <protection/>
    </xf>
    <xf numFmtId="0" fontId="6" fillId="33" borderId="12" xfId="50" applyFont="1" applyFill="1" applyBorder="1" applyAlignment="1" applyProtection="1">
      <alignment horizontal="center" vertical="center"/>
      <protection/>
    </xf>
    <xf numFmtId="0" fontId="6" fillId="33" borderId="24" xfId="50" applyFont="1" applyFill="1" applyBorder="1" applyAlignment="1" applyProtection="1">
      <alignment horizontal="center" vertical="center"/>
      <protection/>
    </xf>
    <xf numFmtId="0" fontId="6" fillId="33" borderId="11" xfId="50" applyFont="1" applyFill="1" applyBorder="1" applyAlignment="1" applyProtection="1">
      <alignment horizontal="center" vertical="center"/>
      <protection/>
    </xf>
    <xf numFmtId="0" fontId="6" fillId="33" borderId="27" xfId="50" applyFont="1" applyFill="1" applyBorder="1" applyAlignment="1" applyProtection="1">
      <alignment horizontal="center" vertical="center"/>
      <protection/>
    </xf>
    <xf numFmtId="0" fontId="6" fillId="33" borderId="15" xfId="50" applyFont="1" applyFill="1" applyBorder="1" applyAlignment="1" applyProtection="1">
      <alignment horizontal="center" vertical="center"/>
      <protection/>
    </xf>
    <xf numFmtId="10" fontId="29" fillId="0" borderId="0" xfId="54" applyNumberFormat="1" applyFont="1" applyFill="1" applyBorder="1" applyAlignment="1" applyProtection="1">
      <alignment horizontal="center" vertical="center" wrapText="1"/>
      <protection/>
    </xf>
    <xf numFmtId="43" fontId="6" fillId="13" borderId="23" xfId="68" applyFont="1" applyFill="1" applyBorder="1" applyAlignment="1" applyProtection="1">
      <alignment horizontal="center"/>
      <protection locked="0"/>
    </xf>
    <xf numFmtId="43" fontId="6" fillId="13" borderId="26" xfId="68" applyFont="1" applyFill="1" applyBorder="1" applyAlignment="1" applyProtection="1">
      <alignment horizontal="center"/>
      <protection locked="0"/>
    </xf>
    <xf numFmtId="0" fontId="6" fillId="33" borderId="25" xfId="50" applyFont="1" applyFill="1" applyBorder="1" applyAlignment="1" applyProtection="1">
      <alignment horizontal="center" vertical="center"/>
      <protection/>
    </xf>
    <xf numFmtId="0" fontId="6" fillId="33" borderId="10" xfId="50" applyFont="1" applyFill="1" applyBorder="1" applyAlignment="1" applyProtection="1">
      <alignment horizontal="center" vertical="center"/>
      <protection/>
    </xf>
    <xf numFmtId="0" fontId="6" fillId="33" borderId="14" xfId="50" applyFont="1" applyFill="1" applyBorder="1" applyAlignment="1" applyProtection="1">
      <alignment horizontal="center" vertical="center"/>
      <protection/>
    </xf>
    <xf numFmtId="0" fontId="6" fillId="33" borderId="26" xfId="50" applyFont="1" applyFill="1" applyBorder="1" applyAlignment="1" applyProtection="1">
      <alignment horizontal="center" vertical="center" wrapText="1"/>
      <protection/>
    </xf>
    <xf numFmtId="0" fontId="6" fillId="33" borderId="12" xfId="50" applyFont="1" applyFill="1" applyBorder="1" applyAlignment="1" applyProtection="1">
      <alignment horizontal="center" vertical="center" wrapText="1"/>
      <protection/>
    </xf>
    <xf numFmtId="0" fontId="6" fillId="33" borderId="0" xfId="50" applyFont="1" applyFill="1" applyBorder="1" applyAlignment="1" applyProtection="1">
      <alignment horizontal="center" vertical="center" wrapText="1"/>
      <protection/>
    </xf>
    <xf numFmtId="0" fontId="6" fillId="33" borderId="11" xfId="50" applyFont="1" applyFill="1" applyBorder="1" applyAlignment="1" applyProtection="1">
      <alignment horizontal="center" vertical="center" wrapText="1"/>
      <protection/>
    </xf>
    <xf numFmtId="0" fontId="6" fillId="33" borderId="13" xfId="50" applyFont="1" applyFill="1" applyBorder="1" applyAlignment="1" applyProtection="1">
      <alignment horizontal="center" vertical="center" wrapText="1"/>
      <protection/>
    </xf>
    <xf numFmtId="0" fontId="6" fillId="33" borderId="15" xfId="50" applyFont="1" applyFill="1" applyBorder="1" applyAlignment="1" applyProtection="1">
      <alignment horizontal="center" vertical="center" wrapText="1"/>
      <protection/>
    </xf>
    <xf numFmtId="0" fontId="6" fillId="0" borderId="10" xfId="50" applyFont="1" applyBorder="1" applyAlignment="1" applyProtection="1">
      <alignment horizontal="left" vertical="top" wrapText="1"/>
      <protection/>
    </xf>
    <xf numFmtId="0" fontId="6" fillId="0" borderId="14" xfId="50" applyFont="1" applyBorder="1" applyAlignment="1" applyProtection="1">
      <alignment horizontal="left" vertical="top" wrapText="1"/>
      <protection/>
    </xf>
    <xf numFmtId="0" fontId="14" fillId="33" borderId="26" xfId="50" applyFont="1" applyFill="1" applyBorder="1" applyAlignment="1" applyProtection="1">
      <alignment horizontal="center" vertical="center"/>
      <protection/>
    </xf>
    <xf numFmtId="0" fontId="6" fillId="33" borderId="18" xfId="50" applyFont="1" applyFill="1" applyBorder="1" applyAlignment="1" applyProtection="1">
      <alignment horizontal="center" vertical="center" wrapText="1"/>
      <protection/>
    </xf>
    <xf numFmtId="0" fontId="6" fillId="33" borderId="16" xfId="50" applyFont="1" applyFill="1" applyBorder="1" applyAlignment="1" applyProtection="1">
      <alignment horizontal="center" vertical="center" wrapText="1"/>
      <protection/>
    </xf>
    <xf numFmtId="0" fontId="6" fillId="33" borderId="17" xfId="50" applyFont="1" applyFill="1" applyBorder="1" applyAlignment="1" applyProtection="1">
      <alignment horizontal="center" vertical="center" wrapText="1"/>
      <protection/>
    </xf>
    <xf numFmtId="43" fontId="6" fillId="0" borderId="24" xfId="68" applyFont="1" applyFill="1" applyBorder="1" applyAlignment="1" applyProtection="1">
      <alignment horizontal="center" vertical="center"/>
      <protection/>
    </xf>
    <xf numFmtId="43" fontId="6" fillId="0" borderId="0" xfId="68" applyFont="1" applyFill="1" applyBorder="1" applyAlignment="1" applyProtection="1">
      <alignment horizontal="center" vertical="center"/>
      <protection/>
    </xf>
    <xf numFmtId="43" fontId="6" fillId="13" borderId="0" xfId="68" applyFont="1" applyFill="1" applyBorder="1" applyAlignment="1" applyProtection="1">
      <alignment horizontal="center" vertical="center"/>
      <protection locked="0"/>
    </xf>
    <xf numFmtId="0" fontId="6" fillId="0" borderId="0" xfId="50" applyFont="1" applyBorder="1" applyAlignment="1" applyProtection="1">
      <alignment horizontal="left" vertical="center" wrapText="1"/>
      <protection/>
    </xf>
    <xf numFmtId="43" fontId="6" fillId="0" borderId="25" xfId="50" applyNumberFormat="1" applyFont="1" applyFill="1" applyBorder="1" applyAlignment="1" applyProtection="1">
      <alignment horizontal="center"/>
      <protection/>
    </xf>
    <xf numFmtId="0" fontId="6" fillId="0" borderId="10" xfId="50" applyFont="1" applyFill="1" applyBorder="1" applyAlignment="1" applyProtection="1">
      <alignment horizontal="center"/>
      <protection/>
    </xf>
    <xf numFmtId="10" fontId="6" fillId="0" borderId="24" xfId="54" applyNumberFormat="1" applyFont="1" applyFill="1" applyBorder="1" applyAlignment="1" applyProtection="1">
      <alignment horizontal="center"/>
      <protection/>
    </xf>
    <xf numFmtId="10" fontId="6" fillId="0" borderId="0" xfId="54" applyNumberFormat="1" applyFont="1" applyFill="1" applyBorder="1" applyAlignment="1" applyProtection="1">
      <alignment horizontal="center"/>
      <protection/>
    </xf>
    <xf numFmtId="10" fontId="6" fillId="0" borderId="27" xfId="50" applyNumberFormat="1" applyFont="1" applyFill="1" applyBorder="1" applyAlignment="1" applyProtection="1">
      <alignment horizontal="center"/>
      <protection/>
    </xf>
    <xf numFmtId="0" fontId="6" fillId="0" borderId="13" xfId="50" applyFont="1" applyFill="1" applyBorder="1" applyAlignment="1" applyProtection="1">
      <alignment horizontal="center"/>
      <protection/>
    </xf>
    <xf numFmtId="43" fontId="6" fillId="13" borderId="13" xfId="68" applyFont="1" applyFill="1" applyBorder="1" applyAlignment="1" applyProtection="1">
      <alignment horizontal="center"/>
      <protection locked="0"/>
    </xf>
    <xf numFmtId="0" fontId="6" fillId="33" borderId="23" xfId="51" applyFont="1" applyFill="1" applyBorder="1" applyAlignment="1" applyProtection="1">
      <alignment horizontal="center" vertical="center" wrapText="1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10" fontId="6" fillId="0" borderId="25" xfId="54" applyNumberFormat="1" applyFont="1" applyFill="1" applyBorder="1" applyAlignment="1" applyProtection="1">
      <alignment horizontal="center" vertical="center" wrapText="1"/>
      <protection/>
    </xf>
    <xf numFmtId="10" fontId="6" fillId="0" borderId="10" xfId="54" applyNumberFormat="1" applyFont="1" applyFill="1" applyBorder="1" applyAlignment="1" applyProtection="1">
      <alignment horizontal="center" vertical="center" wrapText="1"/>
      <protection/>
    </xf>
    <xf numFmtId="43" fontId="6" fillId="0" borderId="19" xfId="50" applyNumberFormat="1" applyFont="1" applyFill="1" applyBorder="1" applyAlignment="1" applyProtection="1">
      <alignment horizontal="center"/>
      <protection/>
    </xf>
    <xf numFmtId="0" fontId="6" fillId="0" borderId="19" xfId="50" applyFont="1" applyFill="1" applyBorder="1" applyAlignment="1" applyProtection="1">
      <alignment horizontal="center"/>
      <protection/>
    </xf>
    <xf numFmtId="0" fontId="11" fillId="42" borderId="23" xfId="50" applyFont="1" applyFill="1" applyBorder="1" applyAlignment="1" applyProtection="1">
      <alignment horizontal="center"/>
      <protection/>
    </xf>
    <xf numFmtId="0" fontId="11" fillId="42" borderId="27" xfId="50" applyFont="1" applyFill="1" applyBorder="1" applyAlignment="1" applyProtection="1">
      <alignment horizontal="center"/>
      <protection/>
    </xf>
    <xf numFmtId="0" fontId="6" fillId="33" borderId="27" xfId="50" applyFont="1" applyFill="1" applyBorder="1" applyAlignment="1" applyProtection="1">
      <alignment horizontal="center"/>
      <protection/>
    </xf>
    <xf numFmtId="0" fontId="6" fillId="33" borderId="15" xfId="50" applyFont="1" applyFill="1" applyBorder="1" applyAlignment="1" applyProtection="1">
      <alignment horizontal="center"/>
      <protection/>
    </xf>
    <xf numFmtId="0" fontId="6" fillId="33" borderId="23" xfId="50" applyFont="1" applyFill="1" applyBorder="1" applyAlignment="1" applyProtection="1">
      <alignment horizontal="center"/>
      <protection/>
    </xf>
    <xf numFmtId="0" fontId="6" fillId="33" borderId="12" xfId="50" applyFont="1" applyFill="1" applyBorder="1" applyAlignment="1" applyProtection="1">
      <alignment horizontal="center"/>
      <protection/>
    </xf>
    <xf numFmtId="0" fontId="14" fillId="33" borderId="10" xfId="50" applyFont="1" applyFill="1" applyBorder="1" applyAlignment="1" applyProtection="1">
      <alignment horizontal="center" vertical="center"/>
      <protection/>
    </xf>
    <xf numFmtId="0" fontId="6" fillId="33" borderId="25" xfId="50" applyFont="1" applyFill="1" applyBorder="1" applyAlignment="1" applyProtection="1">
      <alignment horizontal="center"/>
      <protection/>
    </xf>
    <xf numFmtId="0" fontId="6" fillId="33" borderId="10" xfId="50" applyFont="1" applyFill="1" applyBorder="1" applyAlignment="1" applyProtection="1">
      <alignment horizontal="center"/>
      <protection/>
    </xf>
    <xf numFmtId="43" fontId="6" fillId="0" borderId="24" xfId="50" applyNumberFormat="1" applyFont="1" applyFill="1" applyBorder="1" applyAlignment="1" applyProtection="1">
      <alignment horizontal="center"/>
      <protection/>
    </xf>
    <xf numFmtId="0" fontId="6" fillId="0" borderId="11" xfId="50" applyFont="1" applyFill="1" applyBorder="1" applyAlignment="1" applyProtection="1">
      <alignment horizontal="center"/>
      <protection/>
    </xf>
    <xf numFmtId="0" fontId="13" fillId="0" borderId="0" xfId="50" applyFont="1" applyFill="1" applyAlignment="1" applyProtection="1">
      <alignment horizontal="left"/>
      <protection/>
    </xf>
    <xf numFmtId="0" fontId="6" fillId="0" borderId="0" xfId="50" applyFont="1" applyFill="1" applyAlignment="1" applyProtection="1">
      <alignment horizontal="left" vertical="top" wrapText="1"/>
      <protection/>
    </xf>
    <xf numFmtId="0" fontId="6" fillId="0" borderId="0" xfId="50" applyFont="1" applyFill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 vertical="center"/>
      <protection/>
    </xf>
    <xf numFmtId="0" fontId="6" fillId="0" borderId="11" xfId="50" applyFont="1" applyFill="1" applyBorder="1" applyAlignment="1" applyProtection="1">
      <alignment horizontal="left" vertical="center"/>
      <protection/>
    </xf>
    <xf numFmtId="0" fontId="6" fillId="33" borderId="25" xfId="50" applyFont="1" applyFill="1" applyBorder="1" applyAlignment="1" applyProtection="1">
      <alignment horizontal="center" vertical="center" wrapText="1"/>
      <protection/>
    </xf>
    <xf numFmtId="0" fontId="6" fillId="33" borderId="10" xfId="5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left" vertical="center"/>
      <protection/>
    </xf>
    <xf numFmtId="0" fontId="6" fillId="0" borderId="15" xfId="50" applyFont="1" applyFill="1" applyBorder="1" applyAlignment="1" applyProtection="1">
      <alignment horizontal="left" vertical="center"/>
      <protection/>
    </xf>
    <xf numFmtId="0" fontId="16" fillId="0" borderId="0" xfId="50" applyFont="1" applyFill="1" applyAlignment="1" applyProtection="1">
      <alignment horizontal="left" wrapText="1"/>
      <protection/>
    </xf>
    <xf numFmtId="43" fontId="6" fillId="0" borderId="10" xfId="68" applyFont="1" applyFill="1" applyBorder="1" applyAlignment="1" applyProtection="1">
      <alignment horizontal="center"/>
      <protection/>
    </xf>
    <xf numFmtId="0" fontId="6" fillId="33" borderId="26" xfId="50" applyFont="1" applyFill="1" applyBorder="1" applyAlignment="1" applyProtection="1">
      <alignment horizontal="center" vertical="center"/>
      <protection/>
    </xf>
    <xf numFmtId="0" fontId="6" fillId="33" borderId="13" xfId="50" applyFont="1" applyFill="1" applyBorder="1" applyAlignment="1" applyProtection="1">
      <alignment horizontal="center" vertical="center"/>
      <protection/>
    </xf>
    <xf numFmtId="0" fontId="6" fillId="33" borderId="26" xfId="50" applyNumberFormat="1" applyFont="1" applyFill="1" applyBorder="1" applyAlignment="1" applyProtection="1">
      <alignment horizontal="center" vertical="center"/>
      <protection/>
    </xf>
    <xf numFmtId="0" fontId="6" fillId="33" borderId="13" xfId="50" applyNumberFormat="1" applyFont="1" applyFill="1" applyBorder="1" applyAlignment="1" applyProtection="1">
      <alignment horizontal="center" vertical="center"/>
      <protection/>
    </xf>
    <xf numFmtId="0" fontId="6" fillId="0" borderId="26" xfId="50" applyNumberFormat="1" applyFont="1" applyFill="1" applyBorder="1" applyAlignment="1" applyProtection="1">
      <alignment horizontal="left"/>
      <protection locked="0"/>
    </xf>
    <xf numFmtId="0" fontId="6" fillId="0" borderId="26" xfId="50" applyFont="1" applyFill="1" applyBorder="1" applyAlignment="1" applyProtection="1">
      <alignment horizontal="left" vertical="center"/>
      <protection/>
    </xf>
    <xf numFmtId="0" fontId="6" fillId="0" borderId="12" xfId="50" applyFont="1" applyFill="1" applyBorder="1" applyAlignment="1" applyProtection="1">
      <alignment horizontal="left" vertical="center"/>
      <protection/>
    </xf>
    <xf numFmtId="43" fontId="6" fillId="0" borderId="24" xfId="68" applyFont="1" applyBorder="1" applyAlignment="1" applyProtection="1">
      <alignment horizontal="center" vertical="top" wrapText="1"/>
      <protection/>
    </xf>
    <xf numFmtId="43" fontId="6" fillId="0" borderId="0" xfId="68" applyFont="1" applyBorder="1" applyAlignment="1" applyProtection="1">
      <alignment horizontal="center" vertical="top" wrapText="1"/>
      <protection/>
    </xf>
    <xf numFmtId="0" fontId="6" fillId="0" borderId="13" xfId="50" applyFont="1" applyFill="1" applyBorder="1" applyAlignment="1" applyProtection="1">
      <alignment horizontal="left" vertical="top" wrapText="1"/>
      <protection/>
    </xf>
    <xf numFmtId="0" fontId="6" fillId="0" borderId="15" xfId="50" applyFont="1" applyFill="1" applyBorder="1" applyAlignment="1" applyProtection="1">
      <alignment horizontal="left" vertical="top" wrapText="1"/>
      <protection/>
    </xf>
    <xf numFmtId="0" fontId="6" fillId="0" borderId="13" xfId="50" applyFont="1" applyBorder="1" applyAlignment="1" applyProtection="1">
      <alignment horizontal="left" vertical="center" wrapText="1"/>
      <protection/>
    </xf>
    <xf numFmtId="0" fontId="6" fillId="33" borderId="14" xfId="50" applyFont="1" applyFill="1" applyBorder="1" applyAlignment="1" applyProtection="1">
      <alignment horizontal="center" vertical="center" wrapText="1"/>
      <protection/>
    </xf>
    <xf numFmtId="43" fontId="6" fillId="0" borderId="25" xfId="50" applyNumberFormat="1" applyFont="1" applyFill="1" applyBorder="1" applyAlignment="1" applyProtection="1">
      <alignment horizontal="center" vertical="top" wrapText="1"/>
      <protection/>
    </xf>
    <xf numFmtId="0" fontId="6" fillId="0" borderId="14" xfId="50" applyFont="1" applyFill="1" applyBorder="1" applyAlignment="1" applyProtection="1">
      <alignment horizontal="center" vertical="top" wrapText="1"/>
      <protection/>
    </xf>
    <xf numFmtId="0" fontId="6" fillId="0" borderId="10" xfId="50" applyFont="1" applyBorder="1" applyAlignment="1" applyProtection="1">
      <alignment horizontal="left" vertical="center" wrapText="1"/>
      <protection/>
    </xf>
    <xf numFmtId="0" fontId="6" fillId="0" borderId="14" xfId="50" applyFont="1" applyBorder="1" applyAlignment="1" applyProtection="1">
      <alignment horizontal="left" vertical="center" wrapText="1"/>
      <protection/>
    </xf>
    <xf numFmtId="0" fontId="6" fillId="33" borderId="23" xfId="50" applyFont="1" applyFill="1" applyBorder="1" applyAlignment="1" applyProtection="1">
      <alignment horizontal="center" vertical="center"/>
      <protection locked="0"/>
    </xf>
    <xf numFmtId="0" fontId="6" fillId="33" borderId="26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 locked="0"/>
    </xf>
    <xf numFmtId="0" fontId="6" fillId="33" borderId="27" xfId="50" applyFont="1" applyFill="1" applyBorder="1" applyAlignment="1" applyProtection="1">
      <alignment horizontal="center" vertical="center"/>
      <protection locked="0"/>
    </xf>
    <xf numFmtId="0" fontId="6" fillId="33" borderId="13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/>
    </xf>
    <xf numFmtId="0" fontId="6" fillId="0" borderId="26" xfId="50" applyFont="1" applyBorder="1" applyAlignment="1" applyProtection="1">
      <alignment horizontal="left" vertical="top" wrapText="1"/>
      <protection/>
    </xf>
    <xf numFmtId="0" fontId="6" fillId="33" borderId="23" xfId="50" applyFont="1" applyFill="1" applyBorder="1" applyAlignment="1" applyProtection="1">
      <alignment horizontal="center" vertical="center" wrapText="1"/>
      <protection/>
    </xf>
    <xf numFmtId="0" fontId="6" fillId="33" borderId="24" xfId="50" applyFont="1" applyFill="1" applyBorder="1" applyAlignment="1" applyProtection="1">
      <alignment horizontal="center" vertical="center" wrapText="1"/>
      <protection/>
    </xf>
    <xf numFmtId="0" fontId="6" fillId="33" borderId="27" xfId="50" applyFont="1" applyFill="1" applyBorder="1" applyAlignment="1" applyProtection="1">
      <alignment horizontal="center" vertical="center" wrapText="1"/>
      <protection/>
    </xf>
    <xf numFmtId="43" fontId="6" fillId="0" borderId="25" xfId="50" applyNumberFormat="1" applyFont="1" applyBorder="1" applyAlignment="1" applyProtection="1">
      <alignment horizontal="center" vertical="top" wrapText="1"/>
      <protection/>
    </xf>
    <xf numFmtId="43" fontId="6" fillId="0" borderId="10" xfId="50" applyNumberFormat="1" applyFont="1" applyBorder="1" applyAlignment="1" applyProtection="1">
      <alignment horizontal="center" vertical="top" wrapText="1"/>
      <protection/>
    </xf>
    <xf numFmtId="0" fontId="6" fillId="33" borderId="24" xfId="50" applyFont="1" applyFill="1" applyBorder="1" applyAlignment="1" applyProtection="1">
      <alignment horizontal="center"/>
      <protection/>
    </xf>
    <xf numFmtId="0" fontId="6" fillId="33" borderId="11" xfId="50" applyFont="1" applyFill="1" applyBorder="1" applyAlignment="1" applyProtection="1">
      <alignment horizontal="center"/>
      <protection/>
    </xf>
    <xf numFmtId="0" fontId="6" fillId="0" borderId="13" xfId="50" applyFont="1" applyBorder="1" applyAlignment="1" applyProtection="1">
      <alignment horizontal="left" vertical="center" wrapText="1"/>
      <protection locked="0"/>
    </xf>
    <xf numFmtId="0" fontId="6" fillId="0" borderId="15" xfId="50" applyFont="1" applyBorder="1" applyAlignment="1" applyProtection="1">
      <alignment horizontal="left" vertical="center" wrapText="1"/>
      <protection locked="0"/>
    </xf>
    <xf numFmtId="0" fontId="6" fillId="0" borderId="0" xfId="50" applyFont="1" applyBorder="1" applyAlignment="1" applyProtection="1">
      <alignment horizontal="left" vertical="top" wrapText="1"/>
      <protection/>
    </xf>
    <xf numFmtId="0" fontId="6" fillId="0" borderId="0" xfId="50" applyFont="1" applyBorder="1" applyAlignment="1" applyProtection="1">
      <alignment horizontal="left" vertical="center" wrapText="1"/>
      <protection locked="0"/>
    </xf>
    <xf numFmtId="0" fontId="6" fillId="0" borderId="11" xfId="50" applyFont="1" applyBorder="1" applyAlignment="1" applyProtection="1">
      <alignment horizontal="left" vertical="center" wrapText="1"/>
      <protection locked="0"/>
    </xf>
    <xf numFmtId="0" fontId="14" fillId="33" borderId="13" xfId="50" applyFont="1" applyFill="1" applyBorder="1" applyAlignment="1" applyProtection="1">
      <alignment horizontal="center" vertical="center"/>
      <protection/>
    </xf>
    <xf numFmtId="43" fontId="6" fillId="0" borderId="23" xfId="50" applyNumberFormat="1" applyFont="1" applyFill="1" applyBorder="1" applyAlignment="1" applyProtection="1">
      <alignment horizontal="center" vertical="center"/>
      <protection/>
    </xf>
    <xf numFmtId="0" fontId="6" fillId="0" borderId="26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left" vertical="top" wrapText="1"/>
      <protection/>
    </xf>
    <xf numFmtId="0" fontId="6" fillId="0" borderId="14" xfId="50" applyFont="1" applyFill="1" applyBorder="1" applyAlignment="1" applyProtection="1">
      <alignment horizontal="left" vertical="top" wrapText="1"/>
      <protection/>
    </xf>
    <xf numFmtId="43" fontId="6" fillId="0" borderId="19" xfId="68" applyFont="1" applyFill="1" applyBorder="1" applyAlignment="1" applyProtection="1">
      <alignment horizontal="center" vertical="top" wrapText="1"/>
      <protection/>
    </xf>
    <xf numFmtId="0" fontId="16" fillId="0" borderId="0" xfId="50" applyFont="1" applyFill="1" applyBorder="1" applyAlignment="1" applyProtection="1">
      <alignment horizontal="left"/>
      <protection/>
    </xf>
    <xf numFmtId="0" fontId="16" fillId="0" borderId="0" xfId="5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43" fontId="0" fillId="0" borderId="25" xfId="68" applyFont="1" applyFill="1" applyBorder="1" applyAlignment="1" applyProtection="1">
      <alignment horizontal="center"/>
      <protection/>
    </xf>
    <xf numFmtId="43" fontId="0" fillId="0" borderId="10" xfId="68" applyFont="1" applyFill="1" applyBorder="1" applyAlignment="1" applyProtection="1">
      <alignment horizontal="center"/>
      <protection/>
    </xf>
    <xf numFmtId="43" fontId="0" fillId="13" borderId="23" xfId="68" applyFont="1" applyFill="1" applyBorder="1" applyAlignment="1" applyProtection="1">
      <alignment horizontal="center"/>
      <protection locked="0"/>
    </xf>
    <xf numFmtId="43" fontId="0" fillId="13" borderId="26" xfId="68" applyFont="1" applyFill="1" applyBorder="1" applyAlignment="1" applyProtection="1">
      <alignment horizontal="center"/>
      <protection locked="0"/>
    </xf>
    <xf numFmtId="43" fontId="0" fillId="13" borderId="24" xfId="68" applyFont="1" applyFill="1" applyBorder="1" applyAlignment="1" applyProtection="1">
      <alignment horizontal="center"/>
      <protection locked="0"/>
    </xf>
    <xf numFmtId="43" fontId="0" fillId="13" borderId="0" xfId="68" applyFont="1" applyFill="1" applyBorder="1" applyAlignment="1" applyProtection="1">
      <alignment horizontal="center"/>
      <protection locked="0"/>
    </xf>
    <xf numFmtId="43" fontId="0" fillId="13" borderId="27" xfId="68" applyFont="1" applyFill="1" applyBorder="1" applyAlignment="1" applyProtection="1">
      <alignment horizontal="center"/>
      <protection locked="0"/>
    </xf>
    <xf numFmtId="43" fontId="0" fillId="13" borderId="13" xfId="68" applyFont="1" applyFill="1" applyBorder="1" applyAlignment="1" applyProtection="1">
      <alignment horizontal="center"/>
      <protection locked="0"/>
    </xf>
    <xf numFmtId="0" fontId="6" fillId="0" borderId="0" xfId="50" applyNumberFormat="1" applyFont="1" applyFill="1" applyAlignment="1" applyProtection="1">
      <alignment/>
      <protection/>
    </xf>
    <xf numFmtId="0" fontId="11" fillId="33" borderId="13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left" wrapText="1"/>
      <protection/>
    </xf>
    <xf numFmtId="0" fontId="6" fillId="0" borderId="11" xfId="50" applyFont="1" applyFill="1" applyBorder="1" applyAlignment="1" applyProtection="1">
      <alignment horizontal="left" wrapText="1"/>
      <protection/>
    </xf>
    <xf numFmtId="0" fontId="6" fillId="33" borderId="23" xfId="51" applyFont="1" applyFill="1" applyBorder="1" applyAlignment="1" applyProtection="1">
      <alignment horizontal="center" wrapText="1"/>
      <protection/>
    </xf>
    <xf numFmtId="0" fontId="6" fillId="33" borderId="24" xfId="51" applyFont="1" applyFill="1" applyBorder="1" applyAlignment="1" applyProtection="1">
      <alignment horizontal="center" wrapText="1"/>
      <protection/>
    </xf>
    <xf numFmtId="0" fontId="39" fillId="0" borderId="0" xfId="50" applyNumberFormat="1" applyFont="1" applyFill="1" applyAlignment="1" applyProtection="1">
      <alignment horizontal="center"/>
      <protection/>
    </xf>
    <xf numFmtId="0" fontId="13" fillId="0" borderId="0" xfId="50" applyFont="1" applyFill="1" applyBorder="1" applyAlignment="1" applyProtection="1">
      <alignment vertical="top" wrapText="1"/>
      <protection/>
    </xf>
    <xf numFmtId="49" fontId="6" fillId="0" borderId="0" xfId="50" applyNumberFormat="1" applyFont="1" applyFill="1" applyAlignment="1" applyProtection="1">
      <alignment/>
      <protection/>
    </xf>
    <xf numFmtId="0" fontId="11" fillId="0" borderId="0" xfId="50" applyFont="1" applyFill="1" applyAlignment="1" applyProtection="1">
      <alignment/>
      <protection/>
    </xf>
    <xf numFmtId="0" fontId="6" fillId="0" borderId="0" xfId="50" applyFont="1" applyFill="1" applyAlignment="1" applyProtection="1">
      <alignment/>
      <protection/>
    </xf>
    <xf numFmtId="0" fontId="6" fillId="0" borderId="13" xfId="50" applyFont="1" applyFill="1" applyBorder="1" applyAlignment="1" applyProtection="1">
      <alignment horizontal="left" wrapText="1"/>
      <protection/>
    </xf>
    <xf numFmtId="0" fontId="6" fillId="0" borderId="25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left" wrapText="1"/>
      <protection/>
    </xf>
    <xf numFmtId="0" fontId="6" fillId="0" borderId="14" xfId="50" applyFont="1" applyFill="1" applyBorder="1" applyAlignment="1" applyProtection="1">
      <alignment horizontal="left" wrapText="1"/>
      <protection/>
    </xf>
    <xf numFmtId="0" fontId="11" fillId="0" borderId="0" xfId="50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center"/>
      <protection/>
    </xf>
    <xf numFmtId="0" fontId="23" fillId="0" borderId="0" xfId="51" applyFont="1" applyFill="1" applyBorder="1" applyAlignment="1" applyProtection="1">
      <alignment horizontal="center" vertical="center"/>
      <protection/>
    </xf>
    <xf numFmtId="43" fontId="6" fillId="13" borderId="16" xfId="68" applyFont="1" applyFill="1" applyBorder="1" applyAlignment="1" applyProtection="1">
      <alignment horizontal="right" vertical="top" wrapText="1"/>
      <protection locked="0"/>
    </xf>
    <xf numFmtId="0" fontId="11" fillId="33" borderId="23" xfId="50" applyFont="1" applyFill="1" applyBorder="1" applyAlignment="1" applyProtection="1">
      <alignment horizontal="center" vertical="center" wrapText="1"/>
      <protection/>
    </xf>
    <xf numFmtId="0" fontId="11" fillId="33" borderId="12" xfId="50" applyFont="1" applyFill="1" applyBorder="1" applyAlignment="1" applyProtection="1">
      <alignment horizontal="center" vertical="center" wrapText="1"/>
      <protection/>
    </xf>
    <xf numFmtId="0" fontId="11" fillId="33" borderId="24" xfId="50" applyFont="1" applyFill="1" applyBorder="1" applyAlignment="1" applyProtection="1">
      <alignment horizontal="center" vertical="center" wrapText="1"/>
      <protection/>
    </xf>
    <xf numFmtId="0" fontId="11" fillId="33" borderId="11" xfId="50" applyFont="1" applyFill="1" applyBorder="1" applyAlignment="1" applyProtection="1">
      <alignment horizontal="center" vertical="center" wrapText="1"/>
      <protection/>
    </xf>
    <xf numFmtId="0" fontId="11" fillId="33" borderId="27" xfId="50" applyFont="1" applyFill="1" applyBorder="1" applyAlignment="1" applyProtection="1">
      <alignment horizontal="center" vertical="center" wrapText="1"/>
      <protection/>
    </xf>
    <xf numFmtId="0" fontId="11" fillId="33" borderId="15" xfId="50" applyFont="1" applyFill="1" applyBorder="1" applyAlignment="1" applyProtection="1">
      <alignment horizontal="center" vertical="center" wrapText="1"/>
      <protection/>
    </xf>
    <xf numFmtId="0" fontId="6" fillId="0" borderId="19" xfId="50" applyFont="1" applyBorder="1" applyAlignment="1" applyProtection="1">
      <alignment horizontal="right" vertical="top" wrapText="1"/>
      <protection/>
    </xf>
    <xf numFmtId="0" fontId="6" fillId="0" borderId="25" xfId="50" applyFont="1" applyBorder="1" applyAlignment="1" applyProtection="1">
      <alignment horizontal="right" vertical="top" wrapText="1"/>
      <protection/>
    </xf>
    <xf numFmtId="43" fontId="6" fillId="13" borderId="18" xfId="68" applyFont="1" applyFill="1" applyBorder="1" applyAlignment="1" applyProtection="1">
      <alignment horizontal="right" vertical="top" wrapText="1"/>
      <protection locked="0"/>
    </xf>
    <xf numFmtId="0" fontId="14" fillId="33" borderId="18" xfId="50" applyFont="1" applyFill="1" applyBorder="1" applyAlignment="1" applyProtection="1">
      <alignment horizontal="center" vertical="center" wrapText="1"/>
      <protection/>
    </xf>
    <xf numFmtId="0" fontId="14" fillId="33" borderId="17" xfId="50" applyFont="1" applyFill="1" applyBorder="1" applyAlignment="1" applyProtection="1">
      <alignment horizontal="center" vertical="center" wrapText="1"/>
      <protection/>
    </xf>
    <xf numFmtId="0" fontId="11" fillId="33" borderId="27" xfId="50" applyFont="1" applyFill="1" applyBorder="1" applyAlignment="1" applyProtection="1">
      <alignment horizontal="center" vertical="top" wrapText="1"/>
      <protection/>
    </xf>
    <xf numFmtId="0" fontId="11" fillId="33" borderId="13" xfId="50" applyFont="1" applyFill="1" applyBorder="1" applyAlignment="1" applyProtection="1">
      <alignment horizontal="center" vertical="top" wrapText="1"/>
      <protection/>
    </xf>
    <xf numFmtId="0" fontId="11" fillId="33" borderId="15" xfId="50" applyFont="1" applyFill="1" applyBorder="1" applyAlignment="1" applyProtection="1">
      <alignment horizontal="center" vertical="top" wrapText="1"/>
      <protection/>
    </xf>
    <xf numFmtId="0" fontId="11" fillId="33" borderId="26" xfId="50" applyFont="1" applyFill="1" applyBorder="1" applyAlignment="1" applyProtection="1">
      <alignment horizontal="center" vertical="center" wrapText="1"/>
      <protection/>
    </xf>
    <xf numFmtId="43" fontId="6" fillId="13" borderId="19" xfId="68" applyFont="1" applyFill="1" applyBorder="1" applyAlignment="1" applyProtection="1">
      <alignment horizontal="center" vertical="top" wrapText="1"/>
      <protection locked="0"/>
    </xf>
    <xf numFmtId="0" fontId="6" fillId="0" borderId="0" xfId="50" applyFont="1" applyBorder="1" applyAlignment="1" applyProtection="1">
      <alignment horizontal="right" vertical="top" wrapText="1"/>
      <protection/>
    </xf>
    <xf numFmtId="0" fontId="13" fillId="0" borderId="0" xfId="50" applyFont="1" applyBorder="1" applyAlignment="1" applyProtection="1">
      <alignment horizontal="left" vertical="top" wrapText="1"/>
      <protection/>
    </xf>
    <xf numFmtId="0" fontId="6" fillId="0" borderId="0" xfId="50" applyFont="1" applyAlignment="1" applyProtection="1">
      <alignment horizontal="right" vertical="top" wrapText="1"/>
      <protection/>
    </xf>
    <xf numFmtId="43" fontId="6" fillId="33" borderId="23" xfId="50" applyNumberFormat="1" applyFont="1" applyFill="1" applyBorder="1" applyAlignment="1" applyProtection="1">
      <alignment horizontal="center" vertical="center" wrapText="1"/>
      <protection/>
    </xf>
    <xf numFmtId="0" fontId="6" fillId="37" borderId="23" xfId="50" applyFont="1" applyFill="1" applyBorder="1" applyAlignment="1" applyProtection="1">
      <alignment horizontal="center" vertical="center" wrapText="1"/>
      <protection/>
    </xf>
    <xf numFmtId="0" fontId="6" fillId="37" borderId="12" xfId="50" applyFont="1" applyFill="1" applyBorder="1" applyAlignment="1" applyProtection="1">
      <alignment horizontal="center" vertical="center" wrapText="1"/>
      <protection/>
    </xf>
    <xf numFmtId="0" fontId="6" fillId="37" borderId="27" xfId="50" applyFont="1" applyFill="1" applyBorder="1" applyAlignment="1" applyProtection="1">
      <alignment horizontal="center" vertical="center" wrapText="1"/>
      <protection/>
    </xf>
    <xf numFmtId="0" fontId="6" fillId="37" borderId="15" xfId="50" applyFont="1" applyFill="1" applyBorder="1" applyAlignment="1" applyProtection="1">
      <alignment horizontal="center" vertical="center" wrapText="1"/>
      <protection/>
    </xf>
    <xf numFmtId="0" fontId="6" fillId="0" borderId="0" xfId="50" applyFont="1" applyAlignment="1" applyProtection="1">
      <alignment wrapText="1"/>
      <protection/>
    </xf>
    <xf numFmtId="0" fontId="11" fillId="0" borderId="0" xfId="50" applyFont="1" applyFill="1" applyAlignment="1" applyProtection="1">
      <alignment horizontal="left" vertical="top" wrapText="1"/>
      <protection/>
    </xf>
    <xf numFmtId="43" fontId="6" fillId="0" borderId="19" xfId="68" applyFont="1" applyBorder="1" applyAlignment="1" applyProtection="1">
      <alignment horizontal="right" vertical="top" wrapText="1"/>
      <protection/>
    </xf>
    <xf numFmtId="0" fontId="6" fillId="0" borderId="0" xfId="50" applyFont="1" applyAlignment="1" applyProtection="1">
      <alignment horizontal="justify" vertical="top" wrapText="1"/>
      <protection/>
    </xf>
    <xf numFmtId="0" fontId="6" fillId="0" borderId="0" xfId="50" applyFont="1" applyBorder="1" applyAlignment="1" applyProtection="1">
      <alignment wrapText="1"/>
      <protection/>
    </xf>
    <xf numFmtId="0" fontId="11" fillId="33" borderId="17" xfId="50" applyFont="1" applyFill="1" applyBorder="1" applyAlignment="1" applyProtection="1">
      <alignment horizontal="center" vertical="top" wrapText="1"/>
      <protection/>
    </xf>
    <xf numFmtId="0" fontId="11" fillId="33" borderId="17" xfId="50" applyFont="1" applyFill="1" applyBorder="1" applyAlignment="1" applyProtection="1">
      <alignment horizontal="center" vertical="top"/>
      <protection/>
    </xf>
    <xf numFmtId="0" fontId="16" fillId="0" borderId="0" xfId="50" applyFont="1" applyAlignment="1" applyProtection="1">
      <alignment horizontal="justify" vertical="top" wrapText="1"/>
      <protection/>
    </xf>
    <xf numFmtId="0" fontId="6" fillId="0" borderId="0" xfId="50" applyFont="1" applyAlignment="1" applyProtection="1">
      <alignment horizontal="left" vertical="top" wrapText="1" indent="4"/>
      <protection/>
    </xf>
    <xf numFmtId="0" fontId="6" fillId="0" borderId="16" xfId="50" applyFont="1" applyBorder="1" applyAlignment="1" applyProtection="1">
      <alignment horizontal="justify" wrapText="1"/>
      <protection/>
    </xf>
    <xf numFmtId="0" fontId="6" fillId="0" borderId="17" xfId="50" applyFont="1" applyBorder="1" applyAlignment="1" applyProtection="1">
      <alignment horizontal="justify" wrapText="1"/>
      <protection/>
    </xf>
    <xf numFmtId="43" fontId="6" fillId="0" borderId="24" xfId="68" applyFont="1" applyBorder="1" applyAlignment="1" applyProtection="1">
      <alignment horizontal="right" vertical="center" wrapText="1"/>
      <protection/>
    </xf>
    <xf numFmtId="43" fontId="6" fillId="0" borderId="27" xfId="68" applyFont="1" applyBorder="1" applyAlignment="1" applyProtection="1">
      <alignment horizontal="right" vertical="center" wrapText="1"/>
      <protection/>
    </xf>
    <xf numFmtId="0" fontId="14" fillId="33" borderId="16" xfId="50" applyFont="1" applyFill="1" applyBorder="1" applyAlignment="1" applyProtection="1">
      <alignment horizontal="center" vertical="center" wrapText="1"/>
      <protection/>
    </xf>
    <xf numFmtId="0" fontId="6" fillId="0" borderId="0" xfId="50" applyFont="1" applyBorder="1" applyAlignment="1" applyProtection="1">
      <alignment horizontal="left" vertical="top" wrapText="1"/>
      <protection locked="0"/>
    </xf>
    <xf numFmtId="43" fontId="6" fillId="13" borderId="17" xfId="68" applyFont="1" applyFill="1" applyBorder="1" applyAlignment="1" applyProtection="1">
      <alignment horizontal="right" vertical="top" wrapText="1"/>
      <protection locked="0"/>
    </xf>
    <xf numFmtId="43" fontId="3" fillId="0" borderId="24" xfId="68" applyFont="1" applyFill="1" applyBorder="1" applyAlignment="1" applyProtection="1">
      <alignment horizontal="center"/>
      <protection/>
    </xf>
    <xf numFmtId="43" fontId="3" fillId="0" borderId="11" xfId="6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43" fontId="3" fillId="13" borderId="27" xfId="68" applyFont="1" applyFill="1" applyBorder="1" applyAlignment="1" applyProtection="1">
      <alignment horizontal="center"/>
      <protection locked="0"/>
    </xf>
    <xf numFmtId="43" fontId="3" fillId="13" borderId="15" xfId="68" applyFont="1" applyFill="1" applyBorder="1" applyAlignment="1" applyProtection="1">
      <alignment horizontal="center"/>
      <protection locked="0"/>
    </xf>
    <xf numFmtId="43" fontId="3" fillId="0" borderId="27" xfId="68" applyFont="1" applyFill="1" applyBorder="1" applyAlignment="1" applyProtection="1">
      <alignment horizontal="center"/>
      <protection/>
    </xf>
    <xf numFmtId="43" fontId="3" fillId="0" borderId="15" xfId="68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43" fontId="3" fillId="13" borderId="24" xfId="68" applyFont="1" applyFill="1" applyBorder="1" applyAlignment="1" applyProtection="1">
      <alignment horizontal="center"/>
      <protection locked="0"/>
    </xf>
    <xf numFmtId="43" fontId="3" fillId="13" borderId="11" xfId="68" applyFont="1" applyFill="1" applyBorder="1" applyAlignment="1" applyProtection="1">
      <alignment horizont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43" fontId="3" fillId="0" borderId="23" xfId="68" applyFont="1" applyFill="1" applyBorder="1" applyAlignment="1" applyProtection="1">
      <alignment horizontal="center"/>
      <protection/>
    </xf>
    <xf numFmtId="43" fontId="3" fillId="0" borderId="12" xfId="68" applyFont="1" applyFill="1" applyBorder="1" applyAlignment="1" applyProtection="1">
      <alignment horizontal="center"/>
      <protection/>
    </xf>
    <xf numFmtId="43" fontId="3" fillId="13" borderId="23" xfId="68" applyFont="1" applyFill="1" applyBorder="1" applyAlignment="1" applyProtection="1">
      <alignment horizontal="center"/>
      <protection locked="0"/>
    </xf>
    <xf numFmtId="43" fontId="3" fillId="13" borderId="12" xfId="68" applyFont="1" applyFill="1" applyBorder="1" applyAlignment="1" applyProtection="1">
      <alignment horizontal="center"/>
      <protection locked="0"/>
    </xf>
    <xf numFmtId="0" fontId="3" fillId="13" borderId="26" xfId="0" applyFont="1" applyFill="1" applyBorder="1" applyAlignment="1" applyProtection="1">
      <alignment horizontal="center" vertical="center"/>
      <protection locked="0"/>
    </xf>
    <xf numFmtId="0" fontId="3" fillId="13" borderId="1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114" fillId="43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43" fontId="3" fillId="13" borderId="0" xfId="68" applyFont="1" applyFill="1" applyBorder="1" applyAlignment="1" applyProtection="1">
      <alignment horizontal="center"/>
      <protection locked="0"/>
    </xf>
    <xf numFmtId="43" fontId="3" fillId="13" borderId="13" xfId="68" applyFont="1" applyFill="1" applyBorder="1" applyAlignment="1" applyProtection="1">
      <alignment horizontal="center"/>
      <protection locked="0"/>
    </xf>
    <xf numFmtId="43" fontId="3" fillId="0" borderId="13" xfId="68" applyFont="1" applyFill="1" applyBorder="1" applyAlignment="1" applyProtection="1">
      <alignment horizontal="center"/>
      <protection/>
    </xf>
    <xf numFmtId="0" fontId="2" fillId="33" borderId="23" xfId="50" applyNumberFormat="1" applyFont="1" applyFill="1" applyBorder="1" applyAlignment="1" applyProtection="1">
      <alignment horizontal="center"/>
      <protection locked="0"/>
    </xf>
    <xf numFmtId="0" fontId="2" fillId="33" borderId="26" xfId="50" applyNumberFormat="1" applyFont="1" applyFill="1" applyBorder="1" applyAlignment="1" applyProtection="1">
      <alignment horizontal="center"/>
      <protection locked="0"/>
    </xf>
    <xf numFmtId="0" fontId="2" fillId="33" borderId="12" xfId="50" applyNumberFormat="1" applyFont="1" applyFill="1" applyBorder="1" applyAlignment="1" applyProtection="1">
      <alignment horizontal="center"/>
      <protection locked="0"/>
    </xf>
    <xf numFmtId="0" fontId="3" fillId="0" borderId="0" xfId="50" applyFont="1" applyFill="1" applyBorder="1" applyAlignment="1" applyProtection="1">
      <alignment horizontal="left"/>
      <protection/>
    </xf>
    <xf numFmtId="49" fontId="9" fillId="33" borderId="12" xfId="50" applyNumberFormat="1" applyFont="1" applyFill="1" applyBorder="1" applyAlignment="1" applyProtection="1">
      <alignment horizontal="center" vertical="center"/>
      <protection/>
    </xf>
    <xf numFmtId="0" fontId="10" fillId="33" borderId="15" xfId="50" applyFont="1" applyFill="1" applyBorder="1" applyAlignment="1" applyProtection="1">
      <alignment vertical="center"/>
      <protection/>
    </xf>
    <xf numFmtId="37" fontId="2" fillId="33" borderId="13" xfId="50" applyNumberFormat="1" applyFont="1" applyFill="1" applyBorder="1" applyAlignment="1" applyProtection="1">
      <alignment horizontal="center"/>
      <protection/>
    </xf>
    <xf numFmtId="0" fontId="6" fillId="0" borderId="26" xfId="50" applyFont="1" applyBorder="1" applyAlignment="1" applyProtection="1">
      <alignment horizontal="left" vertical="center" wrapText="1"/>
      <protection locked="0"/>
    </xf>
    <xf numFmtId="0" fontId="3" fillId="0" borderId="0" xfId="50" applyFont="1" applyFill="1" applyBorder="1" applyAlignment="1" applyProtection="1">
      <alignment horizontal="justify" wrapText="1"/>
      <protection/>
    </xf>
    <xf numFmtId="0" fontId="3" fillId="0" borderId="0" xfId="50" applyFont="1" applyFill="1" applyBorder="1" applyAlignment="1" applyProtection="1">
      <alignment horizontal="justify"/>
      <protection/>
    </xf>
    <xf numFmtId="0" fontId="9" fillId="33" borderId="12" xfId="50" applyFont="1" applyFill="1" applyBorder="1" applyAlignment="1" applyProtection="1">
      <alignment horizontal="center" vertical="center"/>
      <protection/>
    </xf>
    <xf numFmtId="0" fontId="9" fillId="33" borderId="15" xfId="50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 applyProtection="1">
      <alignment horizontal="left"/>
      <protection/>
    </xf>
    <xf numFmtId="0" fontId="2" fillId="0" borderId="0" xfId="50" applyFont="1" applyFill="1" applyAlignment="1" applyProtection="1">
      <alignment horizontal="left"/>
      <protection/>
    </xf>
    <xf numFmtId="0" fontId="2" fillId="33" borderId="23" xfId="50" applyFont="1" applyFill="1" applyBorder="1" applyAlignment="1" applyProtection="1">
      <alignment horizontal="center"/>
      <protection/>
    </xf>
    <xf numFmtId="0" fontId="2" fillId="33" borderId="26" xfId="50" applyFont="1" applyFill="1" applyBorder="1" applyAlignment="1" applyProtection="1">
      <alignment horizontal="center"/>
      <protection/>
    </xf>
    <xf numFmtId="0" fontId="2" fillId="33" borderId="12" xfId="50" applyFont="1" applyFill="1" applyBorder="1" applyAlignment="1" applyProtection="1">
      <alignment horizontal="center"/>
      <protection/>
    </xf>
    <xf numFmtId="0" fontId="2" fillId="33" borderId="27" xfId="50" applyFont="1" applyFill="1" applyBorder="1" applyAlignment="1" applyProtection="1">
      <alignment horizontal="center"/>
      <protection/>
    </xf>
    <xf numFmtId="0" fontId="2" fillId="33" borderId="13" xfId="50" applyFont="1" applyFill="1" applyBorder="1" applyAlignment="1" applyProtection="1">
      <alignment horizontal="center"/>
      <protection/>
    </xf>
    <xf numFmtId="0" fontId="2" fillId="33" borderId="15" xfId="50" applyFont="1" applyFill="1" applyBorder="1" applyAlignment="1" applyProtection="1">
      <alignment horizontal="center"/>
      <protection/>
    </xf>
    <xf numFmtId="43" fontId="3" fillId="0" borderId="26" xfId="68" applyFont="1" applyFill="1" applyBorder="1" applyAlignment="1" applyProtection="1">
      <alignment horizontal="center"/>
      <protection/>
    </xf>
    <xf numFmtId="43" fontId="28" fillId="13" borderId="24" xfId="68" applyFont="1" applyFill="1" applyBorder="1" applyAlignment="1" applyProtection="1">
      <alignment horizontal="center" vertical="center" wrapText="1"/>
      <protection locked="0"/>
    </xf>
    <xf numFmtId="43" fontId="28" fillId="13" borderId="0" xfId="68" applyFont="1" applyFill="1" applyBorder="1" applyAlignment="1" applyProtection="1">
      <alignment horizontal="center" vertical="center" wrapText="1"/>
      <protection locked="0"/>
    </xf>
    <xf numFmtId="43" fontId="28" fillId="36" borderId="27" xfId="68" applyFont="1" applyFill="1" applyBorder="1" applyAlignment="1" applyProtection="1">
      <alignment horizontal="center" vertical="center" wrapText="1"/>
      <protection/>
    </xf>
    <xf numFmtId="43" fontId="28" fillId="36" borderId="13" xfId="68" applyFont="1" applyFill="1" applyBorder="1" applyAlignment="1" applyProtection="1">
      <alignment horizontal="center" vertical="center" wrapText="1"/>
      <protection/>
    </xf>
    <xf numFmtId="0" fontId="28" fillId="33" borderId="23" xfId="50" applyFont="1" applyFill="1" applyBorder="1" applyAlignment="1" applyProtection="1">
      <alignment horizontal="center" vertical="center" wrapText="1"/>
      <protection/>
    </xf>
    <xf numFmtId="0" fontId="28" fillId="33" borderId="24" xfId="50" applyFont="1" applyFill="1" applyBorder="1" applyAlignment="1" applyProtection="1">
      <alignment horizontal="center" vertical="center" wrapText="1"/>
      <protection/>
    </xf>
    <xf numFmtId="0" fontId="28" fillId="33" borderId="27" xfId="5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center"/>
      <protection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28" fillId="33" borderId="23" xfId="0" applyFont="1" applyFill="1" applyBorder="1" applyAlignment="1" applyProtection="1">
      <alignment horizontal="center" vertical="center" wrapText="1"/>
      <protection/>
    </xf>
    <xf numFmtId="0" fontId="28" fillId="33" borderId="26" xfId="0" applyFont="1" applyFill="1" applyBorder="1" applyAlignment="1" applyProtection="1">
      <alignment horizontal="center" vertical="center" wrapText="1"/>
      <protection/>
    </xf>
    <xf numFmtId="0" fontId="28" fillId="33" borderId="24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8" fillId="33" borderId="27" xfId="0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43" fontId="28" fillId="0" borderId="27" xfId="68" applyFont="1" applyFill="1" applyBorder="1" applyAlignment="1" applyProtection="1">
      <alignment horizontal="center" vertical="center" wrapText="1"/>
      <protection/>
    </xf>
    <xf numFmtId="43" fontId="28" fillId="0" borderId="13" xfId="68" applyFont="1" applyFill="1" applyBorder="1" applyAlignment="1" applyProtection="1">
      <alignment horizontal="center" vertical="center" wrapText="1"/>
      <protection/>
    </xf>
    <xf numFmtId="43" fontId="20" fillId="13" borderId="24" xfId="68" applyFont="1" applyFill="1" applyBorder="1" applyAlignment="1" applyProtection="1">
      <alignment horizontal="center"/>
      <protection locked="0"/>
    </xf>
    <xf numFmtId="43" fontId="20" fillId="13" borderId="0" xfId="68" applyFont="1" applyFill="1" applyBorder="1" applyAlignment="1" applyProtection="1">
      <alignment horizontal="center"/>
      <protection locked="0"/>
    </xf>
    <xf numFmtId="43" fontId="28" fillId="13" borderId="23" xfId="68" applyFont="1" applyFill="1" applyBorder="1" applyAlignment="1" applyProtection="1">
      <alignment horizontal="center" vertical="center" wrapText="1"/>
      <protection locked="0"/>
    </xf>
    <xf numFmtId="43" fontId="28" fillId="13" borderId="26" xfId="68" applyFont="1" applyFill="1" applyBorder="1" applyAlignment="1" applyProtection="1">
      <alignment horizontal="center" vertical="center" wrapText="1"/>
      <protection locked="0"/>
    </xf>
    <xf numFmtId="10" fontId="6" fillId="0" borderId="24" xfId="54" applyNumberFormat="1" applyFont="1" applyFill="1" applyBorder="1" applyAlignment="1" applyProtection="1">
      <alignment horizontal="center" vertical="center"/>
      <protection/>
    </xf>
    <xf numFmtId="10" fontId="6" fillId="0" borderId="0" xfId="54" applyNumberFormat="1" applyFont="1" applyFill="1" applyBorder="1" applyAlignment="1" applyProtection="1">
      <alignment horizontal="center" vertical="center"/>
      <protection/>
    </xf>
    <xf numFmtId="0" fontId="28" fillId="33" borderId="18" xfId="0" applyFont="1" applyFill="1" applyBorder="1" applyAlignment="1" applyProtection="1">
      <alignment horizontal="center" vertical="center" wrapText="1"/>
      <protection/>
    </xf>
    <xf numFmtId="0" fontId="28" fillId="33" borderId="16" xfId="0" applyFont="1" applyFill="1" applyBorder="1" applyAlignment="1" applyProtection="1">
      <alignment horizontal="center" vertical="center" wrapText="1"/>
      <protection/>
    </xf>
    <xf numFmtId="0" fontId="28" fillId="33" borderId="17" xfId="0" applyFont="1" applyFill="1" applyBorder="1" applyAlignment="1" applyProtection="1">
      <alignment horizontal="center" vertical="center" wrapText="1"/>
      <protection/>
    </xf>
    <xf numFmtId="43" fontId="20" fillId="13" borderId="23" xfId="68" applyFont="1" applyFill="1" applyBorder="1" applyAlignment="1" applyProtection="1">
      <alignment horizontal="center"/>
      <protection locked="0"/>
    </xf>
    <xf numFmtId="43" fontId="20" fillId="13" borderId="26" xfId="68" applyFont="1" applyFill="1" applyBorder="1" applyAlignment="1" applyProtection="1">
      <alignment horizontal="center"/>
      <protection locked="0"/>
    </xf>
    <xf numFmtId="10" fontId="6" fillId="0" borderId="25" xfId="54" applyNumberFormat="1" applyFont="1" applyFill="1" applyBorder="1" applyAlignment="1" applyProtection="1">
      <alignment horizontal="center" vertical="center"/>
      <protection/>
    </xf>
    <xf numFmtId="10" fontId="6" fillId="0" borderId="10" xfId="54" applyNumberFormat="1" applyFont="1" applyFill="1" applyBorder="1" applyAlignment="1" applyProtection="1">
      <alignment horizontal="center" vertical="center"/>
      <protection/>
    </xf>
    <xf numFmtId="0" fontId="28" fillId="33" borderId="25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43" fontId="28" fillId="0" borderId="25" xfId="68" applyFont="1" applyFill="1" applyBorder="1" applyAlignment="1" applyProtection="1">
      <alignment horizontal="center"/>
      <protection/>
    </xf>
    <xf numFmtId="43" fontId="28" fillId="0" borderId="14" xfId="68" applyFont="1" applyFill="1" applyBorder="1" applyAlignment="1" applyProtection="1">
      <alignment horizontal="center"/>
      <protection/>
    </xf>
    <xf numFmtId="43" fontId="20" fillId="13" borderId="11" xfId="68" applyFont="1" applyFill="1" applyBorder="1" applyAlignment="1" applyProtection="1">
      <alignment horizontal="center"/>
      <protection locked="0"/>
    </xf>
    <xf numFmtId="43" fontId="28" fillId="0" borderId="25" xfId="68" applyFont="1" applyFill="1" applyBorder="1" applyAlignment="1" applyProtection="1">
      <alignment horizontal="center" vertical="center"/>
      <protection/>
    </xf>
    <xf numFmtId="43" fontId="28" fillId="0" borderId="14" xfId="68" applyFont="1" applyFill="1" applyBorder="1" applyAlignment="1" applyProtection="1">
      <alignment horizontal="center" vertical="center"/>
      <protection/>
    </xf>
    <xf numFmtId="43" fontId="20" fillId="0" borderId="23" xfId="68" applyFont="1" applyFill="1" applyBorder="1" applyAlignment="1" applyProtection="1">
      <alignment horizontal="center"/>
      <protection/>
    </xf>
    <xf numFmtId="43" fontId="20" fillId="0" borderId="12" xfId="68" applyFont="1" applyFill="1" applyBorder="1" applyAlignment="1" applyProtection="1">
      <alignment horizontal="center"/>
      <protection/>
    </xf>
    <xf numFmtId="10" fontId="78" fillId="36" borderId="25" xfId="54" applyNumberFormat="1" applyFont="1" applyFill="1" applyBorder="1" applyAlignment="1" applyProtection="1">
      <alignment horizontal="center" vertical="center" wrapText="1"/>
      <protection/>
    </xf>
    <xf numFmtId="10" fontId="78" fillId="36" borderId="10" xfId="54" applyNumberFormat="1" applyFont="1" applyFill="1" applyBorder="1" applyAlignment="1" applyProtection="1">
      <alignment horizontal="center" vertical="center" wrapText="1"/>
      <protection/>
    </xf>
    <xf numFmtId="43" fontId="20" fillId="0" borderId="24" xfId="68" applyFont="1" applyFill="1" applyBorder="1" applyAlignment="1" applyProtection="1">
      <alignment horizontal="center"/>
      <protection/>
    </xf>
    <xf numFmtId="43" fontId="20" fillId="0" borderId="11" xfId="68" applyFont="1" applyFill="1" applyBorder="1" applyAlignment="1" applyProtection="1">
      <alignment horizontal="center"/>
      <protection/>
    </xf>
    <xf numFmtId="0" fontId="28" fillId="33" borderId="25" xfId="0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horizontal="left"/>
      <protection/>
    </xf>
    <xf numFmtId="0" fontId="28" fillId="33" borderId="23" xfId="0" applyFont="1" applyFill="1" applyBorder="1" applyAlignment="1" applyProtection="1">
      <alignment horizontal="center"/>
      <protection/>
    </xf>
    <xf numFmtId="0" fontId="28" fillId="33" borderId="12" xfId="0" applyFont="1" applyFill="1" applyBorder="1" applyAlignment="1" applyProtection="1">
      <alignment horizontal="center"/>
      <protection/>
    </xf>
    <xf numFmtId="0" fontId="28" fillId="33" borderId="26" xfId="0" applyFont="1" applyFill="1" applyBorder="1" applyAlignment="1" applyProtection="1">
      <alignment horizontal="center"/>
      <protection/>
    </xf>
    <xf numFmtId="0" fontId="28" fillId="33" borderId="27" xfId="0" applyFont="1" applyFill="1" applyBorder="1" applyAlignment="1" applyProtection="1">
      <alignment horizontal="center"/>
      <protection/>
    </xf>
    <xf numFmtId="0" fontId="28" fillId="33" borderId="15" xfId="0" applyFont="1" applyFill="1" applyBorder="1" applyAlignment="1" applyProtection="1">
      <alignment horizontal="center"/>
      <protection/>
    </xf>
    <xf numFmtId="0" fontId="28" fillId="33" borderId="13" xfId="0" applyFont="1" applyFill="1" applyBorder="1" applyAlignment="1" applyProtection="1">
      <alignment horizontal="center"/>
      <protection/>
    </xf>
    <xf numFmtId="0" fontId="70" fillId="33" borderId="26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28" fillId="33" borderId="10" xfId="0" applyFont="1" applyFill="1" applyBorder="1" applyAlignment="1" applyProtection="1">
      <alignment horizontal="left" vertical="center" wrapText="1"/>
      <protection/>
    </xf>
    <xf numFmtId="0" fontId="28" fillId="33" borderId="14" xfId="0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 applyProtection="1">
      <alignment horizontal="center" vertical="center"/>
      <protection/>
    </xf>
    <xf numFmtId="0" fontId="70" fillId="33" borderId="11" xfId="0" applyFont="1" applyFill="1" applyBorder="1" applyAlignment="1" applyProtection="1">
      <alignment horizontal="center" vertical="center"/>
      <protection/>
    </xf>
    <xf numFmtId="43" fontId="20" fillId="36" borderId="25" xfId="68" applyFont="1" applyFill="1" applyBorder="1" applyAlignment="1" applyProtection="1">
      <alignment horizontal="center" vertical="center"/>
      <protection/>
    </xf>
    <xf numFmtId="43" fontId="20" fillId="36" borderId="10" xfId="68" applyFont="1" applyFill="1" applyBorder="1" applyAlignment="1" applyProtection="1">
      <alignment horizontal="center" vertical="center"/>
      <protection/>
    </xf>
    <xf numFmtId="0" fontId="70" fillId="33" borderId="12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70" fillId="33" borderId="15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5" xfId="0" applyFont="1" applyFill="1" applyBorder="1" applyAlignment="1" applyProtection="1">
      <alignment horizontal="center" vertical="center" wrapText="1"/>
      <protection/>
    </xf>
    <xf numFmtId="43" fontId="28" fillId="13" borderId="24" xfId="68" applyFont="1" applyFill="1" applyBorder="1" applyAlignment="1" applyProtection="1">
      <alignment horizontal="center" vertical="center"/>
      <protection locked="0"/>
    </xf>
    <xf numFmtId="43" fontId="28" fillId="13" borderId="0" xfId="68" applyFont="1" applyFill="1" applyBorder="1" applyAlignment="1" applyProtection="1">
      <alignment horizontal="center" vertical="center"/>
      <protection locked="0"/>
    </xf>
    <xf numFmtId="0" fontId="106" fillId="36" borderId="26" xfId="0" applyFont="1" applyFill="1" applyBorder="1" applyAlignment="1" applyProtection="1">
      <alignment horizontal="left" wrapText="1"/>
      <protection locked="0"/>
    </xf>
    <xf numFmtId="0" fontId="106" fillId="36" borderId="12" xfId="0" applyFont="1" applyFill="1" applyBorder="1" applyAlignment="1" applyProtection="1">
      <alignment horizontal="left" wrapText="1"/>
      <protection locked="0"/>
    </xf>
    <xf numFmtId="0" fontId="106" fillId="36" borderId="0" xfId="0" applyFont="1" applyFill="1" applyBorder="1" applyAlignment="1" applyProtection="1">
      <alignment horizontal="left" wrapText="1"/>
      <protection locked="0"/>
    </xf>
    <xf numFmtId="0" fontId="106" fillId="36" borderId="11" xfId="0" applyFont="1" applyFill="1" applyBorder="1" applyAlignment="1" applyProtection="1">
      <alignment horizontal="left" wrapText="1"/>
      <protection locked="0"/>
    </xf>
    <xf numFmtId="0" fontId="28" fillId="36" borderId="13" xfId="0" applyFont="1" applyFill="1" applyBorder="1" applyAlignment="1" applyProtection="1">
      <alignment horizontal="left" wrapText="1"/>
      <protection/>
    </xf>
    <xf numFmtId="0" fontId="28" fillId="36" borderId="15" xfId="0" applyFont="1" applyFill="1" applyBorder="1" applyAlignment="1" applyProtection="1">
      <alignment horizontal="left" wrapText="1"/>
      <protection/>
    </xf>
    <xf numFmtId="0" fontId="28" fillId="36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43" fontId="28" fillId="13" borderId="23" xfId="68" applyFont="1" applyFill="1" applyBorder="1" applyAlignment="1" applyProtection="1">
      <alignment horizontal="center" vertical="center"/>
      <protection locked="0"/>
    </xf>
    <xf numFmtId="43" fontId="28" fillId="13" borderId="26" xfId="68" applyFont="1" applyFill="1" applyBorder="1" applyAlignment="1" applyProtection="1">
      <alignment horizontal="center" vertical="center"/>
      <protection locked="0"/>
    </xf>
    <xf numFmtId="0" fontId="20" fillId="36" borderId="13" xfId="0" applyFont="1" applyFill="1" applyBorder="1" applyAlignment="1" applyProtection="1">
      <alignment horizontal="left"/>
      <protection/>
    </xf>
    <xf numFmtId="0" fontId="20" fillId="0" borderId="26" xfId="0" applyNumberFormat="1" applyFont="1" applyFill="1" applyBorder="1" applyAlignment="1" applyProtection="1">
      <alignment horizontal="left"/>
      <protection locked="0"/>
    </xf>
    <xf numFmtId="0" fontId="20" fillId="36" borderId="0" xfId="50" applyFont="1" applyFill="1" applyBorder="1" applyAlignment="1" applyProtection="1">
      <alignment horizontal="left" wrapText="1"/>
      <protection/>
    </xf>
    <xf numFmtId="0" fontId="20" fillId="36" borderId="11" xfId="50" applyFont="1" applyFill="1" applyBorder="1" applyAlignment="1" applyProtection="1">
      <alignment horizontal="left" wrapText="1"/>
      <protection/>
    </xf>
    <xf numFmtId="0" fontId="79" fillId="0" borderId="10" xfId="50" applyFont="1" applyFill="1" applyBorder="1" applyAlignment="1" applyProtection="1">
      <alignment horizontal="center"/>
      <protection/>
    </xf>
    <xf numFmtId="0" fontId="20" fillId="36" borderId="13" xfId="50" applyFont="1" applyFill="1" applyBorder="1" applyAlignment="1" applyProtection="1">
      <alignment horizontal="left" wrapText="1"/>
      <protection/>
    </xf>
    <xf numFmtId="0" fontId="20" fillId="36" borderId="15" xfId="50" applyFont="1" applyFill="1" applyBorder="1" applyAlignment="1" applyProtection="1">
      <alignment horizontal="left" wrapText="1"/>
      <protection/>
    </xf>
    <xf numFmtId="0" fontId="70" fillId="33" borderId="26" xfId="50" applyFont="1" applyFill="1" applyBorder="1" applyAlignment="1" applyProtection="1">
      <alignment horizontal="center" vertical="center" wrapText="1"/>
      <protection/>
    </xf>
    <xf numFmtId="0" fontId="70" fillId="33" borderId="12" xfId="50" applyFont="1" applyFill="1" applyBorder="1" applyAlignment="1" applyProtection="1">
      <alignment horizontal="center" vertical="center" wrapText="1"/>
      <protection/>
    </xf>
    <xf numFmtId="0" fontId="70" fillId="33" borderId="0" xfId="50" applyFont="1" applyFill="1" applyBorder="1" applyAlignment="1" applyProtection="1">
      <alignment horizontal="center" vertical="center" wrapText="1"/>
      <protection/>
    </xf>
    <xf numFmtId="0" fontId="70" fillId="33" borderId="11" xfId="50" applyFont="1" applyFill="1" applyBorder="1" applyAlignment="1" applyProtection="1">
      <alignment horizontal="center" vertical="center" wrapText="1"/>
      <protection/>
    </xf>
    <xf numFmtId="0" fontId="70" fillId="33" borderId="13" xfId="50" applyFont="1" applyFill="1" applyBorder="1" applyAlignment="1" applyProtection="1">
      <alignment horizontal="center" vertical="center" wrapText="1"/>
      <protection/>
    </xf>
    <xf numFmtId="0" fontId="70" fillId="33" borderId="15" xfId="50" applyFont="1" applyFill="1" applyBorder="1" applyAlignment="1" applyProtection="1">
      <alignment horizontal="center" vertical="center" wrapText="1"/>
      <protection/>
    </xf>
    <xf numFmtId="0" fontId="20" fillId="0" borderId="0" xfId="50" applyNumberFormat="1" applyFont="1" applyFill="1" applyAlignment="1" applyProtection="1">
      <alignment horizontal="left"/>
      <protection/>
    </xf>
    <xf numFmtId="0" fontId="28" fillId="0" borderId="0" xfId="50" applyNumberFormat="1" applyFont="1" applyFill="1" applyAlignment="1" applyProtection="1">
      <alignment horizontal="left"/>
      <protection/>
    </xf>
    <xf numFmtId="0" fontId="28" fillId="33" borderId="23" xfId="50" applyFont="1" applyFill="1" applyBorder="1" applyAlignment="1" applyProtection="1">
      <alignment horizontal="center" vertical="top" wrapText="1"/>
      <protection/>
    </xf>
    <xf numFmtId="0" fontId="28" fillId="33" borderId="24" xfId="50" applyFont="1" applyFill="1" applyBorder="1" applyAlignment="1" applyProtection="1">
      <alignment horizontal="center" vertical="top" wrapText="1"/>
      <protection/>
    </xf>
    <xf numFmtId="0" fontId="28" fillId="33" borderId="27" xfId="50" applyFont="1" applyFill="1" applyBorder="1" applyAlignment="1" applyProtection="1">
      <alignment horizontal="center" vertical="top" wrapText="1"/>
      <protection/>
    </xf>
    <xf numFmtId="0" fontId="28" fillId="33" borderId="25" xfId="50" applyFont="1" applyFill="1" applyBorder="1" applyAlignment="1" applyProtection="1">
      <alignment horizontal="center"/>
      <protection/>
    </xf>
    <xf numFmtId="0" fontId="28" fillId="33" borderId="10" xfId="50" applyFont="1" applyFill="1" applyBorder="1" applyAlignment="1" applyProtection="1">
      <alignment horizontal="center"/>
      <protection/>
    </xf>
    <xf numFmtId="0" fontId="28" fillId="33" borderId="12" xfId="50" applyFont="1" applyFill="1" applyBorder="1" applyAlignment="1" applyProtection="1">
      <alignment horizontal="center" vertical="center" wrapText="1"/>
      <protection/>
    </xf>
    <xf numFmtId="0" fontId="28" fillId="33" borderId="11" xfId="50" applyFont="1" applyFill="1" applyBorder="1" applyAlignment="1" applyProtection="1">
      <alignment horizontal="center" vertical="center" wrapText="1"/>
      <protection/>
    </xf>
    <xf numFmtId="0" fontId="28" fillId="33" borderId="15" xfId="50" applyFont="1" applyFill="1" applyBorder="1" applyAlignment="1" applyProtection="1">
      <alignment horizontal="center" vertical="center" wrapText="1"/>
      <protection/>
    </xf>
    <xf numFmtId="43" fontId="20" fillId="0" borderId="25" xfId="50" applyNumberFormat="1" applyFont="1" applyFill="1" applyBorder="1" applyAlignment="1" applyProtection="1">
      <alignment horizontal="center"/>
      <protection/>
    </xf>
    <xf numFmtId="0" fontId="20" fillId="0" borderId="14" xfId="50" applyFont="1" applyFill="1" applyBorder="1" applyAlignment="1" applyProtection="1">
      <alignment horizontal="center"/>
      <protection/>
    </xf>
    <xf numFmtId="43" fontId="20" fillId="13" borderId="27" xfId="68" applyFont="1" applyFill="1" applyBorder="1" applyAlignment="1" applyProtection="1">
      <alignment horizontal="center"/>
      <protection locked="0"/>
    </xf>
    <xf numFmtId="43" fontId="20" fillId="13" borderId="15" xfId="68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5" fillId="33" borderId="11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center" vertical="top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top" wrapText="1"/>
      <protection/>
    </xf>
    <xf numFmtId="0" fontId="2" fillId="33" borderId="27" xfId="0" applyFont="1" applyFill="1" applyBorder="1" applyAlignment="1" applyProtection="1">
      <alignment horizontal="center" vertical="top"/>
      <protection/>
    </xf>
    <xf numFmtId="0" fontId="25" fillId="33" borderId="13" xfId="0" applyFont="1" applyFill="1" applyBorder="1" applyAlignment="1" applyProtection="1">
      <alignment horizontal="center" vertical="top"/>
      <protection/>
    </xf>
    <xf numFmtId="0" fontId="25" fillId="33" borderId="15" xfId="0" applyFont="1" applyFill="1" applyBorder="1" applyAlignment="1" applyProtection="1">
      <alignment horizontal="center" vertical="top"/>
      <protection/>
    </xf>
    <xf numFmtId="43" fontId="3" fillId="0" borderId="23" xfId="68" applyFont="1" applyFill="1" applyBorder="1" applyAlignment="1" applyProtection="1">
      <alignment horizontal="left" vertical="top"/>
      <protection/>
    </xf>
    <xf numFmtId="43" fontId="8" fillId="0" borderId="26" xfId="68" applyFont="1" applyFill="1" applyBorder="1" applyAlignment="1" applyProtection="1">
      <alignment horizontal="left" vertical="top"/>
      <protection/>
    </xf>
    <xf numFmtId="43" fontId="8" fillId="0" borderId="12" xfId="68" applyFont="1" applyFill="1" applyBorder="1" applyAlignment="1" applyProtection="1">
      <alignment horizontal="left" vertical="top"/>
      <protection/>
    </xf>
    <xf numFmtId="43" fontId="3" fillId="13" borderId="24" xfId="68" applyFont="1" applyFill="1" applyBorder="1" applyAlignment="1" applyProtection="1">
      <alignment horizontal="left" vertical="top"/>
      <protection locked="0"/>
    </xf>
    <xf numFmtId="43" fontId="8" fillId="13" borderId="0" xfId="68" applyFont="1" applyFill="1" applyAlignment="1" applyProtection="1">
      <alignment horizontal="left" vertical="top"/>
      <protection locked="0"/>
    </xf>
    <xf numFmtId="43" fontId="8" fillId="13" borderId="11" xfId="68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 wrapText="1"/>
      <protection/>
    </xf>
    <xf numFmtId="43" fontId="3" fillId="13" borderId="25" xfId="68" applyFont="1" applyFill="1" applyBorder="1" applyAlignment="1" applyProtection="1">
      <alignment horizontal="left" vertical="top"/>
      <protection locked="0"/>
    </xf>
    <xf numFmtId="43" fontId="8" fillId="13" borderId="10" xfId="68" applyFont="1" applyFill="1" applyBorder="1" applyAlignment="1" applyProtection="1">
      <alignment horizontal="left" vertical="top"/>
      <protection locked="0"/>
    </xf>
    <xf numFmtId="43" fontId="8" fillId="13" borderId="14" xfId="68" applyFont="1" applyFill="1" applyBorder="1" applyAlignment="1" applyProtection="1">
      <alignment horizontal="left" vertical="top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43" fontId="3" fillId="13" borderId="27" xfId="68" applyFont="1" applyFill="1" applyBorder="1" applyAlignment="1" applyProtection="1">
      <alignment horizontal="left" vertical="top"/>
      <protection locked="0"/>
    </xf>
    <xf numFmtId="43" fontId="8" fillId="13" borderId="13" xfId="68" applyFont="1" applyFill="1" applyBorder="1" applyAlignment="1" applyProtection="1">
      <alignment horizontal="left" vertical="top"/>
      <protection locked="0"/>
    </xf>
    <xf numFmtId="43" fontId="8" fillId="13" borderId="15" xfId="68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Border="1" applyAlignment="1" applyProtection="1">
      <alignment horizontal="center" vertical="top"/>
      <protection/>
    </xf>
    <xf numFmtId="0" fontId="2" fillId="33" borderId="23" xfId="0" applyFont="1" applyFill="1" applyBorder="1" applyAlignment="1" applyProtection="1">
      <alignment horizontal="center" vertical="top"/>
      <protection/>
    </xf>
    <xf numFmtId="0" fontId="25" fillId="33" borderId="26" xfId="0" applyFont="1" applyFill="1" applyBorder="1" applyAlignment="1" applyProtection="1">
      <alignment horizontal="center" vertical="top"/>
      <protection/>
    </xf>
    <xf numFmtId="0" fontId="25" fillId="33" borderId="12" xfId="0" applyFont="1" applyFill="1" applyBorder="1" applyAlignment="1" applyProtection="1">
      <alignment horizontal="center" vertical="top"/>
      <protection/>
    </xf>
    <xf numFmtId="43" fontId="3" fillId="0" borderId="27" xfId="68" applyFont="1" applyFill="1" applyBorder="1" applyAlignment="1" applyProtection="1">
      <alignment horizontal="left" vertical="top"/>
      <protection/>
    </xf>
    <xf numFmtId="43" fontId="8" fillId="0" borderId="13" xfId="68" applyFont="1" applyFill="1" applyBorder="1" applyAlignment="1" applyProtection="1">
      <alignment horizontal="left" vertical="top"/>
      <protection/>
    </xf>
    <xf numFmtId="43" fontId="8" fillId="0" borderId="15" xfId="68" applyFont="1" applyFill="1" applyBorder="1" applyAlignment="1" applyProtection="1">
      <alignment horizontal="left" vertical="top"/>
      <protection/>
    </xf>
    <xf numFmtId="43" fontId="3" fillId="0" borderId="24" xfId="68" applyFont="1" applyFill="1" applyBorder="1" applyAlignment="1" applyProtection="1">
      <alignment horizontal="left" vertical="top"/>
      <protection/>
    </xf>
    <xf numFmtId="43" fontId="8" fillId="0" borderId="0" xfId="68" applyFont="1" applyFill="1" applyBorder="1" applyAlignment="1" applyProtection="1">
      <alignment horizontal="left" vertical="top"/>
      <protection/>
    </xf>
    <xf numFmtId="43" fontId="8" fillId="0" borderId="11" xfId="68" applyFont="1" applyFill="1" applyBorder="1" applyAlignment="1" applyProtection="1">
      <alignment horizontal="left" vertical="top"/>
      <protection/>
    </xf>
    <xf numFmtId="43" fontId="3" fillId="0" borderId="25" xfId="68" applyFont="1" applyFill="1" applyBorder="1" applyAlignment="1" applyProtection="1">
      <alignment horizontal="left" vertical="top"/>
      <protection/>
    </xf>
    <xf numFmtId="43" fontId="8" fillId="0" borderId="10" xfId="68" applyFont="1" applyFill="1" applyBorder="1" applyAlignment="1" applyProtection="1">
      <alignment horizontal="left" vertical="top"/>
      <protection/>
    </xf>
    <xf numFmtId="43" fontId="8" fillId="0" borderId="14" xfId="68" applyFont="1" applyFill="1" applyBorder="1" applyAlignment="1" applyProtection="1">
      <alignment horizontal="left" vertical="top"/>
      <protection/>
    </xf>
    <xf numFmtId="164" fontId="2" fillId="33" borderId="26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15" fillId="44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3" fontId="3" fillId="13" borderId="25" xfId="68" applyFont="1" applyFill="1" applyBorder="1" applyAlignment="1" applyProtection="1">
      <alignment horizontal="center"/>
      <protection locked="0"/>
    </xf>
    <xf numFmtId="43" fontId="3" fillId="13" borderId="10" xfId="68" applyFont="1" applyFill="1" applyBorder="1" applyAlignment="1" applyProtection="1">
      <alignment horizontal="center"/>
      <protection locked="0"/>
    </xf>
    <xf numFmtId="43" fontId="3" fillId="13" borderId="14" xfId="68" applyFont="1" applyFill="1" applyBorder="1" applyAlignment="1" applyProtection="1">
      <alignment horizontal="center"/>
      <protection locked="0"/>
    </xf>
    <xf numFmtId="43" fontId="3" fillId="0" borderId="27" xfId="68" applyFont="1" applyFill="1" applyBorder="1" applyAlignment="1">
      <alignment horizontal="center"/>
    </xf>
    <xf numFmtId="43" fontId="3" fillId="0" borderId="13" xfId="68" applyFont="1" applyFill="1" applyBorder="1" applyAlignment="1">
      <alignment horizontal="center"/>
    </xf>
    <xf numFmtId="43" fontId="3" fillId="0" borderId="15" xfId="68" applyFont="1" applyFill="1" applyBorder="1" applyAlignment="1">
      <alignment horizontal="center"/>
    </xf>
    <xf numFmtId="43" fontId="3" fillId="0" borderId="24" xfId="68" applyFont="1" applyFill="1" applyBorder="1" applyAlignment="1">
      <alignment horizontal="center"/>
    </xf>
    <xf numFmtId="43" fontId="3" fillId="0" borderId="0" xfId="68" applyFont="1" applyFill="1" applyBorder="1" applyAlignment="1">
      <alignment horizontal="center"/>
    </xf>
    <xf numFmtId="43" fontId="3" fillId="0" borderId="11" xfId="68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3" fontId="3" fillId="13" borderId="26" xfId="68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2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3" fontId="3" fillId="0" borderId="23" xfId="68" applyFont="1" applyFill="1" applyBorder="1" applyAlignment="1">
      <alignment horizontal="center"/>
    </xf>
    <xf numFmtId="43" fontId="3" fillId="0" borderId="26" xfId="68" applyFont="1" applyFill="1" applyBorder="1" applyAlignment="1">
      <alignment horizontal="center"/>
    </xf>
    <xf numFmtId="43" fontId="3" fillId="0" borderId="12" xfId="68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0" fontId="3" fillId="13" borderId="27" xfId="54" applyNumberFormat="1" applyFont="1" applyFill="1" applyBorder="1" applyAlignment="1" applyProtection="1">
      <alignment horizontal="center"/>
      <protection locked="0"/>
    </xf>
    <xf numFmtId="10" fontId="3" fillId="13" borderId="15" xfId="54" applyNumberFormat="1" applyFont="1" applyFill="1" applyBorder="1" applyAlignment="1" applyProtection="1">
      <alignment horizontal="center"/>
      <protection locked="0"/>
    </xf>
    <xf numFmtId="10" fontId="3" fillId="13" borderId="24" xfId="54" applyNumberFormat="1" applyFont="1" applyFill="1" applyBorder="1" applyAlignment="1" applyProtection="1">
      <alignment horizontal="center"/>
      <protection locked="0"/>
    </xf>
    <xf numFmtId="10" fontId="3" fillId="13" borderId="11" xfId="54" applyNumberFormat="1" applyFont="1" applyFill="1" applyBorder="1" applyAlignment="1" applyProtection="1">
      <alignment horizontal="center"/>
      <protection locked="0"/>
    </xf>
    <xf numFmtId="10" fontId="3" fillId="13" borderId="25" xfId="54" applyNumberFormat="1" applyFont="1" applyFill="1" applyBorder="1" applyAlignment="1" applyProtection="1">
      <alignment horizontal="center"/>
      <protection locked="0"/>
    </xf>
    <xf numFmtId="10" fontId="3" fillId="13" borderId="10" xfId="54" applyNumberFormat="1" applyFont="1" applyFill="1" applyBorder="1" applyAlignment="1" applyProtection="1">
      <alignment horizontal="center"/>
      <protection locked="0"/>
    </xf>
    <xf numFmtId="10" fontId="3" fillId="13" borderId="14" xfId="54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0" fontId="3" fillId="0" borderId="27" xfId="54" applyNumberFormat="1" applyFont="1" applyFill="1" applyBorder="1" applyAlignment="1">
      <alignment horizontal="center"/>
    </xf>
    <xf numFmtId="10" fontId="3" fillId="0" borderId="15" xfId="54" applyNumberFormat="1" applyFont="1" applyFill="1" applyBorder="1" applyAlignment="1">
      <alignment horizontal="center"/>
    </xf>
    <xf numFmtId="10" fontId="3" fillId="0" borderId="23" xfId="54" applyNumberFormat="1" applyFont="1" applyFill="1" applyBorder="1" applyAlignment="1">
      <alignment horizontal="center"/>
    </xf>
    <xf numFmtId="10" fontId="3" fillId="0" borderId="12" xfId="54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0" fontId="3" fillId="13" borderId="23" xfId="54" applyNumberFormat="1" applyFont="1" applyFill="1" applyBorder="1" applyAlignment="1" applyProtection="1">
      <alignment horizontal="center"/>
      <protection locked="0"/>
    </xf>
    <xf numFmtId="10" fontId="3" fillId="13" borderId="12" xfId="54" applyNumberFormat="1" applyFont="1" applyFill="1" applyBorder="1" applyAlignment="1" applyProtection="1">
      <alignment horizontal="center"/>
      <protection locked="0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7" xfId="52"/>
    <cellStyle name="Nota" xfId="53"/>
    <cellStyle name="Percent" xfId="54"/>
    <cellStyle name="Porcentagem 2" xfId="55"/>
    <cellStyle name="Saída" xfId="56"/>
    <cellStyle name="Comma [0]" xfId="57"/>
    <cellStyle name="Separador de milhares 2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2 2" xfId="70"/>
    <cellStyle name="Vírgula 3" xfId="71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PageLayoutView="0" workbookViewId="0" topLeftCell="A7">
      <selection activeCell="B21" sqref="B21"/>
    </sheetView>
  </sheetViews>
  <sheetFormatPr defaultColWidth="9.140625" defaultRowHeight="12.75"/>
  <cols>
    <col min="1" max="1" width="73.00390625" style="32" customWidth="1"/>
    <col min="2" max="2" width="67.57421875" style="32" customWidth="1"/>
    <col min="3" max="16384" width="9.140625" style="32" customWidth="1"/>
  </cols>
  <sheetData>
    <row r="1" spans="1:2" ht="18.75">
      <c r="A1" s="798" t="s">
        <v>681</v>
      </c>
      <c r="B1" s="798"/>
    </row>
    <row r="2" spans="1:2" ht="18.75">
      <c r="A2" s="798" t="s">
        <v>1044</v>
      </c>
      <c r="B2" s="798"/>
    </row>
    <row r="3" spans="1:256" ht="22.5" customHeight="1">
      <c r="A3" s="798" t="s">
        <v>1045</v>
      </c>
      <c r="B3" s="798"/>
      <c r="D3" s="794">
        <f>IF(IT11=1,"","O preenchimento do período (Bimestre) diferente do indicado pode comprometer a obtenção de alguns índices!!!! Selecione o período clicando na setinha à direita da linha que indica o período!!!!")</f>
      </c>
      <c r="E3" s="794"/>
      <c r="F3" s="794"/>
      <c r="G3" s="794"/>
      <c r="II3" s="648"/>
      <c r="IJ3" s="648"/>
      <c r="IK3" s="648"/>
      <c r="IL3" s="648"/>
      <c r="IM3" s="648"/>
      <c r="IN3" s="648"/>
      <c r="IO3" s="648"/>
      <c r="IP3" s="648"/>
      <c r="IQ3" s="648"/>
      <c r="IR3" s="648"/>
      <c r="IS3" s="648"/>
      <c r="IT3" s="648"/>
      <c r="IU3" s="648"/>
      <c r="IV3" s="648"/>
    </row>
    <row r="4" spans="1:256" s="34" customFormat="1" ht="22.5" customHeight="1">
      <c r="A4" s="796" t="s">
        <v>109</v>
      </c>
      <c r="B4" s="796"/>
      <c r="C4" s="33"/>
      <c r="D4" s="794"/>
      <c r="E4" s="794"/>
      <c r="F4" s="794"/>
      <c r="G4" s="794"/>
      <c r="H4" s="33"/>
      <c r="I4" s="33"/>
      <c r="II4" s="792" t="s">
        <v>1015</v>
      </c>
      <c r="IJ4" s="792"/>
      <c r="IK4" s="792"/>
      <c r="IL4" s="792"/>
      <c r="IM4" s="792"/>
      <c r="IN4" s="792"/>
      <c r="IO4" s="648">
        <f>IF($A$5=IP4,1,0)</f>
        <v>0</v>
      </c>
      <c r="IP4" s="793" t="s">
        <v>1012</v>
      </c>
      <c r="IQ4" s="793"/>
      <c r="IR4" s="793"/>
      <c r="IS4" s="793"/>
      <c r="IT4" s="793"/>
      <c r="IU4" s="793"/>
      <c r="IV4" s="793"/>
    </row>
    <row r="5" spans="1:256" ht="18.75">
      <c r="A5" s="799" t="s">
        <v>1010</v>
      </c>
      <c r="B5" s="799"/>
      <c r="D5" s="794"/>
      <c r="E5" s="794"/>
      <c r="F5" s="794"/>
      <c r="G5" s="794"/>
      <c r="II5" s="792"/>
      <c r="IJ5" s="792"/>
      <c r="IK5" s="792"/>
      <c r="IL5" s="792"/>
      <c r="IM5" s="792"/>
      <c r="IN5" s="792"/>
      <c r="IO5" s="648"/>
      <c r="IP5" s="648"/>
      <c r="IQ5" s="648"/>
      <c r="IR5" s="648"/>
      <c r="IS5" s="648"/>
      <c r="IT5" s="648">
        <f aca="true" t="shared" si="0" ref="IT5:IT10">IF($A$5=IV5,1,0)</f>
        <v>0</v>
      </c>
      <c r="IU5" s="648"/>
      <c r="IV5" s="544" t="s">
        <v>1006</v>
      </c>
    </row>
    <row r="6" spans="1:256" ht="22.5">
      <c r="A6" s="797" t="s">
        <v>1027</v>
      </c>
      <c r="B6" s="797"/>
      <c r="D6" s="794"/>
      <c r="E6" s="794"/>
      <c r="F6" s="794"/>
      <c r="G6" s="794"/>
      <c r="II6" s="792"/>
      <c r="IJ6" s="792"/>
      <c r="IK6" s="792"/>
      <c r="IL6" s="792"/>
      <c r="IM6" s="792"/>
      <c r="IN6" s="792"/>
      <c r="IO6" s="648"/>
      <c r="IP6" s="648"/>
      <c r="IQ6" s="648"/>
      <c r="IR6" s="648"/>
      <c r="IS6" s="648"/>
      <c r="IT6" s="648">
        <f t="shared" si="0"/>
        <v>0</v>
      </c>
      <c r="IU6" s="648"/>
      <c r="IV6" s="544" t="s">
        <v>1007</v>
      </c>
    </row>
    <row r="7" spans="1:256" ht="23.25">
      <c r="A7" s="795">
        <f>IF(B19="","Por favor, informe o endereço eletrônico do Portal da Transparência.","")</f>
      </c>
      <c r="B7" s="795"/>
      <c r="D7" s="794"/>
      <c r="E7" s="794"/>
      <c r="F7" s="794"/>
      <c r="G7" s="794"/>
      <c r="II7" s="792"/>
      <c r="IJ7" s="792"/>
      <c r="IK7" s="792"/>
      <c r="IL7" s="792"/>
      <c r="IM7" s="792"/>
      <c r="IN7" s="792"/>
      <c r="IO7" s="648"/>
      <c r="IP7" s="648"/>
      <c r="IQ7" s="648"/>
      <c r="IR7" s="648"/>
      <c r="IS7" s="648"/>
      <c r="IT7" s="648">
        <f t="shared" si="0"/>
        <v>0</v>
      </c>
      <c r="IU7" s="648"/>
      <c r="IV7" s="544" t="s">
        <v>1008</v>
      </c>
    </row>
    <row r="8" spans="1:256" ht="18">
      <c r="A8" s="35" t="s">
        <v>972</v>
      </c>
      <c r="B8" s="36"/>
      <c r="II8" s="792"/>
      <c r="IJ8" s="792"/>
      <c r="IK8" s="792"/>
      <c r="IL8" s="792"/>
      <c r="IM8" s="792"/>
      <c r="IN8" s="792"/>
      <c r="IO8" s="648"/>
      <c r="IP8" s="648"/>
      <c r="IQ8" s="648"/>
      <c r="IR8" s="648"/>
      <c r="IS8" s="648"/>
      <c r="IT8" s="648">
        <f t="shared" si="0"/>
        <v>0</v>
      </c>
      <c r="IU8" s="648"/>
      <c r="IV8" s="544" t="s">
        <v>1009</v>
      </c>
    </row>
    <row r="9" spans="1:256" ht="12.75">
      <c r="A9" s="37" t="s">
        <v>973</v>
      </c>
      <c r="B9" s="787" t="s">
        <v>1046</v>
      </c>
      <c r="C9" s="649">
        <f>IF(B9="",1,0)</f>
        <v>0</v>
      </c>
      <c r="II9" s="792"/>
      <c r="IJ9" s="792"/>
      <c r="IK9" s="792"/>
      <c r="IL9" s="792"/>
      <c r="IM9" s="792"/>
      <c r="IN9" s="792"/>
      <c r="IO9" s="648"/>
      <c r="IP9" s="648"/>
      <c r="IQ9" s="648"/>
      <c r="IR9" s="648"/>
      <c r="IS9" s="648"/>
      <c r="IT9" s="648">
        <f t="shared" si="0"/>
        <v>1</v>
      </c>
      <c r="IU9" s="648"/>
      <c r="IV9" s="544" t="s">
        <v>1010</v>
      </c>
    </row>
    <row r="10" spans="1:256" ht="12.75">
      <c r="A10" s="218" t="s">
        <v>974</v>
      </c>
      <c r="B10" s="787" t="s">
        <v>1047</v>
      </c>
      <c r="C10" s="649">
        <f aca="true" t="shared" si="1" ref="C10:C22">IF(B10="",1,0)</f>
        <v>0</v>
      </c>
      <c r="II10" s="792"/>
      <c r="IJ10" s="792"/>
      <c r="IK10" s="792"/>
      <c r="IL10" s="792"/>
      <c r="IM10" s="792"/>
      <c r="IN10" s="792"/>
      <c r="IO10" s="648"/>
      <c r="IP10" s="648"/>
      <c r="IQ10" s="648"/>
      <c r="IR10" s="648"/>
      <c r="IS10" s="648"/>
      <c r="IT10" s="648">
        <f t="shared" si="0"/>
        <v>0</v>
      </c>
      <c r="IU10" s="648"/>
      <c r="IV10" s="544" t="s">
        <v>1011</v>
      </c>
    </row>
    <row r="11" spans="1:256" ht="12.75">
      <c r="A11" s="37" t="s">
        <v>975</v>
      </c>
      <c r="B11" s="787" t="s">
        <v>1048</v>
      </c>
      <c r="C11" s="649">
        <f t="shared" si="1"/>
        <v>0</v>
      </c>
      <c r="II11" s="648"/>
      <c r="IJ11" s="648"/>
      <c r="IK11" s="648"/>
      <c r="IL11" s="648"/>
      <c r="IM11" s="648"/>
      <c r="IN11" s="648"/>
      <c r="IO11" s="648"/>
      <c r="IP11" s="648"/>
      <c r="IQ11" s="648"/>
      <c r="IR11" s="648"/>
      <c r="IS11" s="648"/>
      <c r="IT11" s="648">
        <f>SUM(IT5:IT10)+IO4</f>
        <v>1</v>
      </c>
      <c r="IU11" s="648"/>
      <c r="IV11" s="648"/>
    </row>
    <row r="12" spans="1:3" ht="12.75">
      <c r="A12" s="218" t="s">
        <v>976</v>
      </c>
      <c r="B12" s="787" t="s">
        <v>1049</v>
      </c>
      <c r="C12" s="649">
        <f t="shared" si="1"/>
        <v>0</v>
      </c>
    </row>
    <row r="13" spans="1:3" ht="12.75">
      <c r="A13" s="37" t="s">
        <v>977</v>
      </c>
      <c r="B13" s="787" t="s">
        <v>1050</v>
      </c>
      <c r="C13" s="649">
        <f t="shared" si="1"/>
        <v>0</v>
      </c>
    </row>
    <row r="14" spans="1:3" ht="18">
      <c r="A14" s="35" t="s">
        <v>978</v>
      </c>
      <c r="B14" s="36"/>
      <c r="C14" s="649"/>
    </row>
    <row r="15" spans="1:3" ht="12.75">
      <c r="A15" s="37" t="s">
        <v>979</v>
      </c>
      <c r="B15" s="788" t="s">
        <v>1051</v>
      </c>
      <c r="C15" s="649">
        <f t="shared" si="1"/>
        <v>0</v>
      </c>
    </row>
    <row r="16" spans="1:3" ht="15">
      <c r="A16" s="219" t="s">
        <v>980</v>
      </c>
      <c r="B16" s="789">
        <v>42643</v>
      </c>
      <c r="C16" s="649">
        <f t="shared" si="1"/>
        <v>0</v>
      </c>
    </row>
    <row r="17" spans="1:3" ht="12.75">
      <c r="A17" s="37" t="s">
        <v>981</v>
      </c>
      <c r="B17" s="789">
        <v>42643</v>
      </c>
      <c r="C17" s="649">
        <f t="shared" si="1"/>
        <v>0</v>
      </c>
    </row>
    <row r="18" spans="1:3" ht="18">
      <c r="A18" s="35" t="s">
        <v>982</v>
      </c>
      <c r="B18" s="36"/>
      <c r="C18" s="649"/>
    </row>
    <row r="19" spans="1:3" ht="15.75">
      <c r="A19" s="38" t="s">
        <v>983</v>
      </c>
      <c r="B19" s="790" t="s">
        <v>1052</v>
      </c>
      <c r="C19" s="649">
        <f t="shared" si="1"/>
        <v>0</v>
      </c>
    </row>
    <row r="20" spans="1:3" ht="12.75">
      <c r="A20" s="218" t="s">
        <v>984</v>
      </c>
      <c r="B20" s="791" t="s">
        <v>1053</v>
      </c>
      <c r="C20" s="649">
        <f t="shared" si="1"/>
        <v>0</v>
      </c>
    </row>
    <row r="21" spans="1:3" ht="12.75">
      <c r="A21" s="39" t="s">
        <v>985</v>
      </c>
      <c r="B21" s="791" t="s">
        <v>1055</v>
      </c>
      <c r="C21" s="649">
        <f t="shared" si="1"/>
        <v>0</v>
      </c>
    </row>
    <row r="22" spans="1:3" ht="12.75">
      <c r="A22" s="220" t="s">
        <v>986</v>
      </c>
      <c r="B22" s="791" t="s">
        <v>1054</v>
      </c>
      <c r="C22" s="649">
        <f t="shared" si="1"/>
        <v>0</v>
      </c>
    </row>
    <row r="23" ht="12.75">
      <c r="C23" s="649">
        <f>MAX(C9:C22)</f>
        <v>0</v>
      </c>
    </row>
    <row r="1000" ht="12.75">
      <c r="A1000" s="70" t="s">
        <v>998</v>
      </c>
    </row>
    <row r="1001" ht="12.75">
      <c r="A1001" s="70"/>
    </row>
    <row r="1002" ht="12.75">
      <c r="A1002" s="70"/>
    </row>
    <row r="1003" ht="12.75">
      <c r="A1003" s="70"/>
    </row>
    <row r="1004" ht="12.75">
      <c r="A1004" s="70"/>
    </row>
    <row r="1005" ht="12.75">
      <c r="A1005" s="70"/>
    </row>
    <row r="1006" ht="12.75">
      <c r="A1006" s="70"/>
    </row>
    <row r="1007" ht="12.75">
      <c r="A1007" s="70"/>
    </row>
    <row r="1008" ht="12.75">
      <c r="A1008" s="70"/>
    </row>
    <row r="1009" ht="12.75">
      <c r="A1009" s="70"/>
    </row>
    <row r="1010" ht="12.75">
      <c r="A1010" s="70" t="s">
        <v>1026</v>
      </c>
    </row>
  </sheetData>
  <sheetProtection password="C236" sheet="1" objects="1" scenarios="1" formatColumns="0" selectLockedCells="1"/>
  <mergeCells count="10">
    <mergeCell ref="A1:B1"/>
    <mergeCell ref="A2:B2"/>
    <mergeCell ref="A3:B3"/>
    <mergeCell ref="A5:B5"/>
    <mergeCell ref="II4:IN10"/>
    <mergeCell ref="IP4:IV4"/>
    <mergeCell ref="D3:G7"/>
    <mergeCell ref="A7:B7"/>
    <mergeCell ref="A4:B4"/>
    <mergeCell ref="A6:B6"/>
  </mergeCells>
  <conditionalFormatting sqref="A7:B7">
    <cfRule type="expression" priority="2" dxfId="4" stopIfTrue="1">
      <formula>$B$19=""</formula>
    </cfRule>
  </conditionalFormatting>
  <conditionalFormatting sqref="D3:G7">
    <cfRule type="expression" priority="1" dxfId="0" stopIfTrue="1">
      <formula>IT11&lt;&gt;1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3" zoomScaleNormal="83" zoomScalePageLayoutView="0" workbookViewId="0" topLeftCell="A1">
      <selection activeCell="A11" sqref="A11"/>
    </sheetView>
  </sheetViews>
  <sheetFormatPr defaultColWidth="9.140625" defaultRowHeight="12.75"/>
  <cols>
    <col min="1" max="1" width="78.57421875" style="425" customWidth="1"/>
    <col min="2" max="2" width="25.7109375" style="425" customWidth="1"/>
    <col min="3" max="6" width="12.7109375" style="425" customWidth="1"/>
    <col min="7" max="7" width="20.421875" style="425" customWidth="1"/>
    <col min="8" max="8" width="21.140625" style="425" customWidth="1"/>
    <col min="9" max="9" width="9.140625" style="425" customWidth="1"/>
    <col min="10" max="10" width="12.8515625" style="425" customWidth="1"/>
    <col min="11" max="11" width="21.140625" style="425" customWidth="1"/>
    <col min="12" max="12" width="14.00390625" style="425" customWidth="1"/>
    <col min="13" max="16384" width="9.140625" style="425" customWidth="1"/>
  </cols>
  <sheetData>
    <row r="1" spans="1:6" ht="15.75" customHeight="1">
      <c r="A1" s="1203" t="s">
        <v>464</v>
      </c>
      <c r="B1" s="1203"/>
      <c r="C1" s="1203"/>
      <c r="D1" s="1203"/>
      <c r="E1" s="1203"/>
      <c r="F1" s="1203"/>
    </row>
    <row r="2" spans="1:13" ht="12.75">
      <c r="A2" s="1196" t="str">
        <f>'Informações Iniciais'!A1</f>
        <v>PODER EXECUTIVO</v>
      </c>
      <c r="B2" s="1196"/>
      <c r="C2" s="1196"/>
      <c r="D2" s="1196"/>
      <c r="E2" s="1196"/>
      <c r="F2" s="426"/>
      <c r="G2" s="426"/>
      <c r="H2" s="426"/>
      <c r="I2" s="426"/>
      <c r="J2" s="426"/>
      <c r="K2" s="426"/>
      <c r="L2" s="426"/>
      <c r="M2" s="426"/>
    </row>
    <row r="3" spans="1:13" ht="12.75">
      <c r="A3" s="1204" t="s">
        <v>109</v>
      </c>
      <c r="B3" s="1204"/>
      <c r="C3" s="1204"/>
      <c r="D3" s="1204"/>
      <c r="E3" s="1204"/>
      <c r="F3" s="426"/>
      <c r="G3" s="426"/>
      <c r="H3" s="426"/>
      <c r="I3" s="426"/>
      <c r="J3" s="426"/>
      <c r="K3" s="426"/>
      <c r="L3" s="426"/>
      <c r="M3" s="426"/>
    </row>
    <row r="4" spans="1:13" ht="12.75">
      <c r="A4" s="1205" t="s">
        <v>272</v>
      </c>
      <c r="B4" s="1205"/>
      <c r="C4" s="1205"/>
      <c r="D4" s="1205"/>
      <c r="E4" s="1205"/>
      <c r="F4" s="342"/>
      <c r="G4" s="342"/>
      <c r="H4" s="342"/>
      <c r="I4" s="342"/>
      <c r="J4" s="342"/>
      <c r="K4" s="342"/>
      <c r="L4" s="342"/>
      <c r="M4" s="342"/>
    </row>
    <row r="5" spans="1:13" ht="12.75">
      <c r="A5" s="1206" t="s">
        <v>111</v>
      </c>
      <c r="B5" s="1206"/>
      <c r="C5" s="1206"/>
      <c r="D5" s="1206"/>
      <c r="E5" s="1206"/>
      <c r="F5" s="343"/>
      <c r="G5" s="343"/>
      <c r="H5" s="343"/>
      <c r="I5" s="343"/>
      <c r="J5" s="343"/>
      <c r="K5" s="343"/>
      <c r="L5" s="343"/>
      <c r="M5" s="343"/>
    </row>
    <row r="6" spans="1:13" ht="12.75">
      <c r="A6" s="1196" t="str">
        <f>'Informações Iniciais'!A5</f>
        <v>5º Bimestre de 2016</v>
      </c>
      <c r="B6" s="1196"/>
      <c r="C6" s="1196"/>
      <c r="D6" s="1196"/>
      <c r="E6" s="1196"/>
      <c r="F6" s="426"/>
      <c r="G6" s="426"/>
      <c r="H6" s="426"/>
      <c r="I6" s="426"/>
      <c r="J6" s="426"/>
      <c r="K6" s="426"/>
      <c r="L6" s="426"/>
      <c r="M6" s="426"/>
    </row>
    <row r="7" spans="1:16" ht="14.25">
      <c r="A7" s="1202">
        <f>IF(C27&lt;&gt;(E27+G27),"ERRO!!!! O total das DESPESAS EMPENHADAS deve ser igual ao somatório dos totais das DESPESAS LIQUIDADAS e INSCRITAS EM RESTOS A PAGAR NÃO PROCESSADOS.","")</f>
      </c>
      <c r="B7" s="1202"/>
      <c r="C7" s="1202"/>
      <c r="D7" s="1202"/>
      <c r="E7" s="1202"/>
      <c r="F7" s="1202"/>
      <c r="G7" s="1202"/>
      <c r="H7" s="426"/>
      <c r="I7" s="426"/>
      <c r="J7" s="427"/>
      <c r="K7" s="427"/>
      <c r="L7" s="427"/>
      <c r="M7" s="427"/>
      <c r="N7" s="428"/>
      <c r="O7" s="428"/>
      <c r="P7" s="428"/>
    </row>
    <row r="8" spans="1:16" ht="12.75">
      <c r="A8" s="429" t="s">
        <v>693</v>
      </c>
      <c r="B8" s="429"/>
      <c r="C8" s="429"/>
      <c r="D8" s="429"/>
      <c r="E8" s="429"/>
      <c r="F8" s="429"/>
      <c r="G8" s="748" t="s">
        <v>519</v>
      </c>
      <c r="H8" s="365"/>
      <c r="J8" s="1213"/>
      <c r="K8" s="1213"/>
      <c r="L8" s="1213"/>
      <c r="M8" s="1213"/>
      <c r="N8" s="428"/>
      <c r="O8" s="428"/>
      <c r="P8" s="428"/>
    </row>
    <row r="9" spans="1:16" ht="12.75">
      <c r="A9" s="1197" t="s">
        <v>441</v>
      </c>
      <c r="B9" s="1197"/>
      <c r="C9" s="1197"/>
      <c r="D9" s="1197"/>
      <c r="E9" s="1197"/>
      <c r="F9" s="1197"/>
      <c r="G9" s="1197"/>
      <c r="H9" s="430"/>
      <c r="J9" s="1214"/>
      <c r="K9" s="1214"/>
      <c r="L9" s="1214"/>
      <c r="M9" s="1214"/>
      <c r="N9" s="428"/>
      <c r="O9" s="428"/>
      <c r="P9" s="428"/>
    </row>
    <row r="10" spans="1:16" ht="30" customHeight="1">
      <c r="A10" s="445" t="s">
        <v>1004</v>
      </c>
      <c r="B10" s="1100" t="s">
        <v>442</v>
      </c>
      <c r="C10" s="1088" t="s">
        <v>176</v>
      </c>
      <c r="D10" s="1089"/>
      <c r="E10" s="1088" t="s">
        <v>177</v>
      </c>
      <c r="F10" s="1089"/>
      <c r="G10" s="1200" t="s">
        <v>688</v>
      </c>
      <c r="H10" s="428"/>
      <c r="J10" s="1215"/>
      <c r="K10" s="1215"/>
      <c r="L10" s="432"/>
      <c r="M10" s="431"/>
      <c r="N10" s="428"/>
      <c r="O10" s="428"/>
      <c r="P10" s="428"/>
    </row>
    <row r="11" spans="1:16" ht="15" customHeight="1">
      <c r="A11" s="446" t="s">
        <v>1003</v>
      </c>
      <c r="B11" s="1101"/>
      <c r="C11" s="366" t="s">
        <v>119</v>
      </c>
      <c r="D11" s="348" t="s">
        <v>118</v>
      </c>
      <c r="E11" s="366" t="s">
        <v>119</v>
      </c>
      <c r="F11" s="348" t="s">
        <v>118</v>
      </c>
      <c r="G11" s="1201"/>
      <c r="H11" s="428"/>
      <c r="J11" s="431"/>
      <c r="K11" s="431"/>
      <c r="L11" s="431"/>
      <c r="M11" s="433"/>
      <c r="N11" s="428"/>
      <c r="O11" s="428"/>
      <c r="P11" s="428"/>
    </row>
    <row r="12" spans="1:16" ht="15" customHeight="1">
      <c r="A12" s="444"/>
      <c r="B12" s="434" t="s">
        <v>180</v>
      </c>
      <c r="C12" s="396" t="s">
        <v>181</v>
      </c>
      <c r="D12" s="350" t="s">
        <v>209</v>
      </c>
      <c r="E12" s="396" t="s">
        <v>182</v>
      </c>
      <c r="F12" s="350" t="s">
        <v>674</v>
      </c>
      <c r="G12" s="368" t="s">
        <v>423</v>
      </c>
      <c r="H12" s="428"/>
      <c r="J12" s="431"/>
      <c r="K12" s="431"/>
      <c r="L12" s="431"/>
      <c r="M12" s="431"/>
      <c r="N12" s="428"/>
      <c r="O12" s="428"/>
      <c r="P12" s="428"/>
    </row>
    <row r="13" spans="1:16" ht="12.75">
      <c r="A13" s="435" t="s">
        <v>443</v>
      </c>
      <c r="B13" s="436">
        <f>B14+B17</f>
        <v>0</v>
      </c>
      <c r="C13" s="436">
        <f>C14+C17</f>
        <v>0</v>
      </c>
      <c r="D13" s="62">
        <f>IF($B13="",0,IF($B13=0,0,C13/$B13))</f>
        <v>0</v>
      </c>
      <c r="E13" s="436">
        <f>E14+E17</f>
        <v>0</v>
      </c>
      <c r="F13" s="62">
        <f>IF($B13="",0,IF($B13=0,0,E13/$B13))</f>
        <v>0</v>
      </c>
      <c r="G13" s="437">
        <f>G14+G17</f>
        <v>0</v>
      </c>
      <c r="H13" s="354"/>
      <c r="J13" s="428"/>
      <c r="K13" s="428"/>
      <c r="L13" s="428"/>
      <c r="M13" s="428"/>
      <c r="N13" s="428"/>
      <c r="O13" s="428"/>
      <c r="P13" s="428"/>
    </row>
    <row r="14" spans="1:8" ht="12.75">
      <c r="A14" s="438" t="s">
        <v>648</v>
      </c>
      <c r="B14" s="439">
        <f>SUM(B15:B16)</f>
        <v>0</v>
      </c>
      <c r="C14" s="439">
        <f>SUM(C15:C16)</f>
        <v>0</v>
      </c>
      <c r="D14" s="62">
        <f aca="true" t="shared" si="0" ref="D14:F27">IF($B14="",0,IF($B14=0,0,C14/$B14))</f>
        <v>0</v>
      </c>
      <c r="E14" s="439">
        <f>SUM(E15:E16)</f>
        <v>0</v>
      </c>
      <c r="F14" s="62">
        <f t="shared" si="0"/>
        <v>0</v>
      </c>
      <c r="G14" s="224">
        <f>SUM(G15:G16)</f>
        <v>0</v>
      </c>
      <c r="H14" s="354"/>
    </row>
    <row r="15" spans="1:8" ht="12.75">
      <c r="A15" s="438" t="s">
        <v>649</v>
      </c>
      <c r="B15" s="336"/>
      <c r="C15" s="336"/>
      <c r="D15" s="62">
        <f t="shared" si="0"/>
        <v>0</v>
      </c>
      <c r="E15" s="419"/>
      <c r="F15" s="62">
        <f t="shared" si="0"/>
        <v>0</v>
      </c>
      <c r="G15" s="336"/>
      <c r="H15" s="354"/>
    </row>
    <row r="16" spans="1:8" ht="12.75">
      <c r="A16" s="438" t="s">
        <v>650</v>
      </c>
      <c r="B16" s="337"/>
      <c r="C16" s="337"/>
      <c r="D16" s="62">
        <f t="shared" si="0"/>
        <v>0</v>
      </c>
      <c r="E16" s="337"/>
      <c r="F16" s="62">
        <f t="shared" si="0"/>
        <v>0</v>
      </c>
      <c r="G16" s="746"/>
      <c r="H16" s="354"/>
    </row>
    <row r="17" spans="1:8" ht="12.75">
      <c r="A17" s="438" t="s">
        <v>651</v>
      </c>
      <c r="B17" s="439">
        <f>SUM(B18:B19)</f>
        <v>0</v>
      </c>
      <c r="C17" s="439">
        <f>SUM(C18:C19)</f>
        <v>0</v>
      </c>
      <c r="D17" s="62">
        <f t="shared" si="0"/>
        <v>0</v>
      </c>
      <c r="E17" s="439">
        <f>SUM(E18:E19)</f>
        <v>0</v>
      </c>
      <c r="F17" s="62">
        <f t="shared" si="0"/>
        <v>0</v>
      </c>
      <c r="G17" s="52">
        <f>SUM(G18:G19)</f>
        <v>0</v>
      </c>
      <c r="H17" s="354"/>
    </row>
    <row r="18" spans="1:8" ht="12.75">
      <c r="A18" s="438" t="s">
        <v>649</v>
      </c>
      <c r="B18" s="746"/>
      <c r="C18" s="418"/>
      <c r="D18" s="62">
        <f t="shared" si="0"/>
        <v>0</v>
      </c>
      <c r="E18" s="415"/>
      <c r="F18" s="62">
        <f t="shared" si="0"/>
        <v>0</v>
      </c>
      <c r="G18" s="336"/>
      <c r="H18" s="354"/>
    </row>
    <row r="19" spans="1:8" ht="12.75">
      <c r="A19" s="438" t="s">
        <v>650</v>
      </c>
      <c r="B19" s="746"/>
      <c r="C19" s="336"/>
      <c r="D19" s="62">
        <f t="shared" si="0"/>
        <v>0</v>
      </c>
      <c r="E19" s="336"/>
      <c r="F19" s="62">
        <f t="shared" si="0"/>
        <v>0</v>
      </c>
      <c r="G19" s="710"/>
      <c r="H19" s="428"/>
    </row>
    <row r="20" spans="1:8" ht="12.75">
      <c r="A20" s="435" t="s">
        <v>444</v>
      </c>
      <c r="B20" s="439">
        <f>SUM(B21:B22)</f>
        <v>0</v>
      </c>
      <c r="C20" s="439">
        <f>SUM(C21:C22)</f>
        <v>0</v>
      </c>
      <c r="D20" s="62">
        <f t="shared" si="0"/>
        <v>0</v>
      </c>
      <c r="E20" s="439">
        <f>SUM(E21:E22)</f>
        <v>0</v>
      </c>
      <c r="F20" s="62">
        <f t="shared" si="0"/>
        <v>0</v>
      </c>
      <c r="G20" s="52">
        <f>SUM(G21:G22)</f>
        <v>0</v>
      </c>
      <c r="H20" s="428"/>
    </row>
    <row r="21" spans="1:8" ht="12.75">
      <c r="A21" s="435" t="s">
        <v>990</v>
      </c>
      <c r="B21" s="747"/>
      <c r="C21" s="710"/>
      <c r="D21" s="62">
        <f t="shared" si="0"/>
        <v>0</v>
      </c>
      <c r="E21" s="710"/>
      <c r="F21" s="62">
        <f t="shared" si="0"/>
        <v>0</v>
      </c>
      <c r="G21" s="747"/>
      <c r="H21" s="428"/>
    </row>
    <row r="22" spans="1:8" ht="12.75">
      <c r="A22" s="435" t="s">
        <v>991</v>
      </c>
      <c r="B22" s="747"/>
      <c r="C22" s="710"/>
      <c r="D22" s="62">
        <f t="shared" si="0"/>
        <v>0</v>
      </c>
      <c r="E22" s="710"/>
      <c r="F22" s="62">
        <f t="shared" si="0"/>
        <v>0</v>
      </c>
      <c r="G22" s="747"/>
      <c r="H22" s="428"/>
    </row>
    <row r="23" spans="1:8" ht="12.75">
      <c r="A23" s="435" t="s">
        <v>445</v>
      </c>
      <c r="B23" s="747"/>
      <c r="C23" s="710"/>
      <c r="D23" s="62">
        <f t="shared" si="0"/>
        <v>0</v>
      </c>
      <c r="E23" s="710"/>
      <c r="F23" s="62">
        <f t="shared" si="0"/>
        <v>0</v>
      </c>
      <c r="G23" s="747"/>
      <c r="H23" s="428"/>
    </row>
    <row r="24" spans="1:8" ht="12.75">
      <c r="A24" s="435" t="s">
        <v>446</v>
      </c>
      <c r="B24" s="747"/>
      <c r="C24" s="710"/>
      <c r="D24" s="62">
        <f t="shared" si="0"/>
        <v>0</v>
      </c>
      <c r="E24" s="710"/>
      <c r="F24" s="62">
        <f t="shared" si="0"/>
        <v>0</v>
      </c>
      <c r="G24" s="747"/>
      <c r="H24" s="428"/>
    </row>
    <row r="25" spans="1:8" ht="12.75">
      <c r="A25" s="435" t="s">
        <v>447</v>
      </c>
      <c r="B25" s="747"/>
      <c r="C25" s="710"/>
      <c r="D25" s="62">
        <f t="shared" si="0"/>
        <v>0</v>
      </c>
      <c r="E25" s="710"/>
      <c r="F25" s="62">
        <f t="shared" si="0"/>
        <v>0</v>
      </c>
      <c r="G25" s="747"/>
      <c r="H25" s="428"/>
    </row>
    <row r="26" spans="1:8" ht="12.75">
      <c r="A26" s="435" t="s">
        <v>448</v>
      </c>
      <c r="B26" s="747"/>
      <c r="C26" s="710"/>
      <c r="D26" s="62">
        <f t="shared" si="0"/>
        <v>0</v>
      </c>
      <c r="E26" s="710"/>
      <c r="F26" s="62">
        <f t="shared" si="0"/>
        <v>0</v>
      </c>
      <c r="G26" s="711"/>
      <c r="H26" s="428"/>
    </row>
    <row r="27" spans="1:8" ht="12.75">
      <c r="A27" s="440" t="s">
        <v>449</v>
      </c>
      <c r="B27" s="441">
        <f>SUM(B13,B20,B23:B26)</f>
        <v>0</v>
      </c>
      <c r="C27" s="441">
        <f>SUM(C13,C20,C23:C26)</f>
        <v>0</v>
      </c>
      <c r="D27" s="63">
        <f t="shared" si="0"/>
        <v>0</v>
      </c>
      <c r="E27" s="441">
        <f>SUM(E13,E20,E23:E26)</f>
        <v>0</v>
      </c>
      <c r="F27" s="63">
        <f t="shared" si="0"/>
        <v>0</v>
      </c>
      <c r="G27" s="442">
        <f>SUM(G13,G20,G23:G26)</f>
        <v>0</v>
      </c>
      <c r="H27" s="428"/>
    </row>
    <row r="28" spans="1:7" ht="19.5" customHeight="1">
      <c r="A28" s="1208" t="s">
        <v>411</v>
      </c>
      <c r="B28" s="1209"/>
      <c r="C28" s="1209"/>
      <c r="D28" s="1209"/>
      <c r="E28" s="1210"/>
      <c r="F28" s="1208" t="s">
        <v>251</v>
      </c>
      <c r="G28" s="1209"/>
    </row>
    <row r="29" spans="1:7" ht="12.75">
      <c r="A29" s="1198" t="s">
        <v>450</v>
      </c>
      <c r="B29" s="1198"/>
      <c r="C29" s="1198"/>
      <c r="D29" s="1198"/>
      <c r="E29" s="1199"/>
      <c r="F29" s="1190"/>
      <c r="G29" s="1191"/>
    </row>
    <row r="30" spans="1:7" ht="12.75">
      <c r="A30" s="1198" t="s">
        <v>451</v>
      </c>
      <c r="B30" s="1198"/>
      <c r="C30" s="1198"/>
      <c r="D30" s="1198"/>
      <c r="E30" s="1199"/>
      <c r="F30" s="1192"/>
      <c r="G30" s="1193"/>
    </row>
    <row r="31" spans="1:7" ht="12.75" customHeight="1">
      <c r="A31" s="1198" t="s">
        <v>452</v>
      </c>
      <c r="B31" s="1198"/>
      <c r="C31" s="1198"/>
      <c r="D31" s="1198"/>
      <c r="E31" s="1199"/>
      <c r="F31" s="1192"/>
      <c r="G31" s="1193"/>
    </row>
    <row r="32" spans="1:7" ht="13.5" customHeight="1">
      <c r="A32" s="1198" t="s">
        <v>453</v>
      </c>
      <c r="B32" s="1198"/>
      <c r="C32" s="1198"/>
      <c r="D32" s="1198"/>
      <c r="E32" s="1199"/>
      <c r="F32" s="1192"/>
      <c r="G32" s="1193"/>
    </row>
    <row r="33" spans="1:7" ht="13.5" customHeight="1">
      <c r="A33" s="1198" t="s">
        <v>992</v>
      </c>
      <c r="B33" s="1198"/>
      <c r="C33" s="1198"/>
      <c r="D33" s="1198"/>
      <c r="E33" s="1199"/>
      <c r="F33" s="1192"/>
      <c r="G33" s="1193"/>
    </row>
    <row r="34" spans="1:7" s="443" customFormat="1" ht="12.75" customHeight="1">
      <c r="A34" s="1207" t="s">
        <v>454</v>
      </c>
      <c r="B34" s="1207"/>
      <c r="C34" s="1207"/>
      <c r="D34" s="1207"/>
      <c r="E34" s="1207"/>
      <c r="F34" s="1194"/>
      <c r="G34" s="1195"/>
    </row>
    <row r="35" spans="1:7" ht="14.25" customHeight="1">
      <c r="A35" s="1211" t="s">
        <v>455</v>
      </c>
      <c r="B35" s="1211"/>
      <c r="C35" s="1211"/>
      <c r="D35" s="1211"/>
      <c r="E35" s="1212"/>
      <c r="F35" s="1188">
        <f>SUM(F29:G34)</f>
        <v>0</v>
      </c>
      <c r="G35" s="1189"/>
    </row>
    <row r="36" spans="1:7" ht="12.75">
      <c r="A36" s="1211" t="s">
        <v>456</v>
      </c>
      <c r="B36" s="1211"/>
      <c r="C36" s="1211"/>
      <c r="D36" s="1211"/>
      <c r="E36" s="1212"/>
      <c r="F36" s="1188">
        <f>E27-F35</f>
        <v>0</v>
      </c>
      <c r="G36" s="1189"/>
    </row>
    <row r="37" spans="1:3" ht="12.75">
      <c r="A37" s="863" t="s">
        <v>687</v>
      </c>
      <c r="B37" s="863"/>
      <c r="C37" s="863"/>
    </row>
  </sheetData>
  <sheetProtection password="C236" sheet="1" objects="1" scenarios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A7:G7"/>
    <mergeCell ref="F36:G36"/>
    <mergeCell ref="F29:G29"/>
    <mergeCell ref="F30:G30"/>
    <mergeCell ref="F31:G31"/>
    <mergeCell ref="F32:G32"/>
    <mergeCell ref="F33:G33"/>
    <mergeCell ref="F34:G34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37007874015748" bottom="0" header="0" footer="0"/>
  <pageSetup fitToHeight="1" fitToWidth="1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zoomScalePageLayoutView="0" workbookViewId="0" topLeftCell="A1">
      <selection activeCell="A25" sqref="A25:J25"/>
    </sheetView>
  </sheetViews>
  <sheetFormatPr defaultColWidth="6.7109375" defaultRowHeight="11.25" customHeight="1"/>
  <cols>
    <col min="1" max="1" width="39.00390625" style="343" customWidth="1"/>
    <col min="2" max="6" width="8.7109375" style="343" customWidth="1"/>
    <col min="7" max="7" width="8.7109375" style="354" customWidth="1"/>
    <col min="8" max="9" width="8.7109375" style="343" customWidth="1"/>
    <col min="10" max="10" width="16.7109375" style="343" customWidth="1"/>
    <col min="11" max="16384" width="6.7109375" style="343" customWidth="1"/>
  </cols>
  <sheetData>
    <row r="1" spans="1:11" s="448" customFormat="1" ht="15.75">
      <c r="A1" s="1234" t="s">
        <v>457</v>
      </c>
      <c r="B1" s="1234"/>
      <c r="C1" s="1234"/>
      <c r="D1" s="1234"/>
      <c r="E1" s="1234"/>
      <c r="F1" s="1234"/>
      <c r="G1" s="1234"/>
      <c r="H1" s="1234"/>
      <c r="I1" s="1234"/>
      <c r="J1" s="1234"/>
      <c r="K1" s="447"/>
    </row>
    <row r="2" spans="1:11" ht="11.25" customHeight="1">
      <c r="A2" s="1233"/>
      <c r="B2" s="1233"/>
      <c r="C2" s="1233"/>
      <c r="D2" s="1233"/>
      <c r="E2" s="1233"/>
      <c r="F2" s="1233"/>
      <c r="G2" s="1233"/>
      <c r="H2" s="1233"/>
      <c r="I2" s="1233"/>
      <c r="J2" s="1233"/>
      <c r="K2" s="450"/>
    </row>
    <row r="3" spans="1:11" ht="12.75">
      <c r="A3" s="1132" t="str">
        <f>'Informações Iniciais'!A1</f>
        <v>PODER EXECUTIVO</v>
      </c>
      <c r="B3" s="1132"/>
      <c r="C3" s="1132"/>
      <c r="D3" s="1132"/>
      <c r="E3" s="1132"/>
      <c r="F3" s="1132"/>
      <c r="G3" s="1132"/>
      <c r="H3" s="1132"/>
      <c r="I3" s="1132"/>
      <c r="J3" s="1132"/>
      <c r="K3" s="450"/>
    </row>
    <row r="4" spans="1:11" ht="12.75">
      <c r="A4" s="1132" t="s">
        <v>109</v>
      </c>
      <c r="B4" s="1132"/>
      <c r="C4" s="1132"/>
      <c r="D4" s="1132"/>
      <c r="E4" s="1132"/>
      <c r="F4" s="1132"/>
      <c r="G4" s="1132"/>
      <c r="H4" s="1132"/>
      <c r="I4" s="1132"/>
      <c r="J4" s="1132"/>
      <c r="K4" s="450"/>
    </row>
    <row r="5" spans="1:11" ht="12.75">
      <c r="A5" s="1242" t="s">
        <v>277</v>
      </c>
      <c r="B5" s="1242"/>
      <c r="C5" s="1242"/>
      <c r="D5" s="1242"/>
      <c r="E5" s="1242"/>
      <c r="F5" s="1242"/>
      <c r="G5" s="1242"/>
      <c r="H5" s="1242"/>
      <c r="I5" s="1242"/>
      <c r="J5" s="1242"/>
      <c r="K5" s="450"/>
    </row>
    <row r="6" spans="1:11" ht="12.75">
      <c r="A6" s="1132" t="s">
        <v>111</v>
      </c>
      <c r="B6" s="1132"/>
      <c r="C6" s="1132"/>
      <c r="D6" s="1132"/>
      <c r="E6" s="1132"/>
      <c r="F6" s="1132"/>
      <c r="G6" s="1132"/>
      <c r="H6" s="1132"/>
      <c r="I6" s="1132"/>
      <c r="J6" s="1132"/>
      <c r="K6" s="450"/>
    </row>
    <row r="7" spans="1:11" ht="12.75">
      <c r="A7" s="1132" t="str">
        <f>'Informações Iniciais'!A5</f>
        <v>5º Bimestre de 2016</v>
      </c>
      <c r="B7" s="1132"/>
      <c r="C7" s="1132"/>
      <c r="D7" s="1132"/>
      <c r="E7" s="1132"/>
      <c r="F7" s="1132"/>
      <c r="G7" s="1132"/>
      <c r="H7" s="1132"/>
      <c r="I7" s="1132"/>
      <c r="J7" s="1132"/>
      <c r="K7" s="450"/>
    </row>
    <row r="8" spans="1:11" ht="12.75">
      <c r="A8" s="451"/>
      <c r="B8" s="1235"/>
      <c r="C8" s="1235"/>
      <c r="D8" s="451"/>
      <c r="E8" s="451"/>
      <c r="F8" s="1235"/>
      <c r="G8" s="1235"/>
      <c r="H8" s="1235"/>
      <c r="I8" s="1235"/>
      <c r="J8" s="451"/>
      <c r="K8" s="450"/>
    </row>
    <row r="9" spans="1:11" ht="12.75">
      <c r="A9" s="373" t="s">
        <v>458</v>
      </c>
      <c r="B9" s="1233"/>
      <c r="C9" s="1233"/>
      <c r="D9" s="449"/>
      <c r="E9" s="449"/>
      <c r="F9" s="1233"/>
      <c r="G9" s="1233"/>
      <c r="H9" s="1233"/>
      <c r="I9" s="1233"/>
      <c r="J9" s="452" t="s">
        <v>519</v>
      </c>
      <c r="K9" s="450"/>
    </row>
    <row r="10" spans="1:11" ht="27" customHeight="1">
      <c r="A10" s="1226" t="s">
        <v>114</v>
      </c>
      <c r="B10" s="1217" t="s">
        <v>281</v>
      </c>
      <c r="C10" s="1231"/>
      <c r="D10" s="1231"/>
      <c r="E10" s="1218"/>
      <c r="F10" s="1217" t="s">
        <v>113</v>
      </c>
      <c r="G10" s="1231"/>
      <c r="H10" s="1231"/>
      <c r="I10" s="1218"/>
      <c r="J10" s="464" t="s">
        <v>851</v>
      </c>
      <c r="K10" s="1241"/>
    </row>
    <row r="11" spans="1:11" s="354" customFormat="1" ht="12.75" customHeight="1">
      <c r="A11" s="1227"/>
      <c r="B11" s="1228" t="s">
        <v>120</v>
      </c>
      <c r="C11" s="1229"/>
      <c r="D11" s="1229"/>
      <c r="E11" s="1230"/>
      <c r="F11" s="1228" t="s">
        <v>121</v>
      </c>
      <c r="G11" s="1229"/>
      <c r="H11" s="1229"/>
      <c r="I11" s="1230"/>
      <c r="J11" s="453" t="s">
        <v>413</v>
      </c>
      <c r="K11" s="1241"/>
    </row>
    <row r="12" spans="1:11" ht="15.75">
      <c r="A12" s="454" t="s">
        <v>852</v>
      </c>
      <c r="B12" s="1232">
        <v>1045</v>
      </c>
      <c r="C12" s="1232"/>
      <c r="D12" s="1232"/>
      <c r="E12" s="1232"/>
      <c r="F12" s="1232">
        <v>0</v>
      </c>
      <c r="G12" s="1232"/>
      <c r="H12" s="1232"/>
      <c r="I12" s="1232"/>
      <c r="J12" s="455">
        <f>B12-F12</f>
        <v>1045</v>
      </c>
      <c r="K12" s="450"/>
    </row>
    <row r="13" spans="1:11" ht="12.75">
      <c r="A13" s="1223"/>
      <c r="B13" s="1223"/>
      <c r="C13" s="1223"/>
      <c r="D13" s="1223"/>
      <c r="E13" s="1223"/>
      <c r="F13" s="1223"/>
      <c r="G13" s="1223"/>
      <c r="H13" s="1223"/>
      <c r="I13" s="1223"/>
      <c r="J13" s="1224"/>
      <c r="K13" s="450"/>
    </row>
    <row r="14" spans="1:11" ht="27" customHeight="1">
      <c r="A14" s="1226" t="s">
        <v>178</v>
      </c>
      <c r="B14" s="1217" t="s">
        <v>993</v>
      </c>
      <c r="C14" s="1218"/>
      <c r="D14" s="1217" t="s">
        <v>176</v>
      </c>
      <c r="E14" s="1218"/>
      <c r="F14" s="1217" t="s">
        <v>177</v>
      </c>
      <c r="G14" s="1218"/>
      <c r="H14" s="1217" t="s">
        <v>994</v>
      </c>
      <c r="I14" s="1218"/>
      <c r="J14" s="1217" t="s">
        <v>459</v>
      </c>
      <c r="K14" s="456"/>
    </row>
    <row r="15" spans="1:11" ht="27" customHeight="1">
      <c r="A15" s="1254"/>
      <c r="B15" s="1219"/>
      <c r="C15" s="1220"/>
      <c r="D15" s="1219"/>
      <c r="E15" s="1220"/>
      <c r="F15" s="1219"/>
      <c r="G15" s="1220"/>
      <c r="H15" s="1219"/>
      <c r="I15" s="1220"/>
      <c r="J15" s="1219"/>
      <c r="K15" s="1245"/>
    </row>
    <row r="16" spans="1:11" ht="12.75">
      <c r="A16" s="1227"/>
      <c r="B16" s="1246" t="s">
        <v>180</v>
      </c>
      <c r="C16" s="1246"/>
      <c r="D16" s="1247" t="s">
        <v>181</v>
      </c>
      <c r="E16" s="1247"/>
      <c r="F16" s="1221"/>
      <c r="G16" s="1222"/>
      <c r="H16" s="1221"/>
      <c r="I16" s="1222"/>
      <c r="J16" s="457" t="s">
        <v>642</v>
      </c>
      <c r="K16" s="1245"/>
    </row>
    <row r="17" spans="1:11" ht="12.75">
      <c r="A17" s="458" t="s">
        <v>185</v>
      </c>
      <c r="B17" s="1225">
        <v>11535746.620000001</v>
      </c>
      <c r="C17" s="1225"/>
      <c r="D17" s="1225">
        <v>2857378.21</v>
      </c>
      <c r="E17" s="1225"/>
      <c r="F17" s="1225">
        <v>2137880.59</v>
      </c>
      <c r="G17" s="1225"/>
      <c r="H17" s="1225">
        <v>0</v>
      </c>
      <c r="I17" s="1225"/>
      <c r="J17" s="459">
        <f>B17-D17</f>
        <v>8678368.41</v>
      </c>
      <c r="K17" s="450"/>
    </row>
    <row r="18" spans="1:11" ht="12.75">
      <c r="A18" s="460" t="s">
        <v>415</v>
      </c>
      <c r="B18" s="1216">
        <v>0</v>
      </c>
      <c r="C18" s="1216"/>
      <c r="D18" s="1216">
        <v>0</v>
      </c>
      <c r="E18" s="1216"/>
      <c r="F18" s="1216">
        <v>0</v>
      </c>
      <c r="G18" s="1216"/>
      <c r="H18" s="1216">
        <v>0</v>
      </c>
      <c r="I18" s="1216"/>
      <c r="J18" s="461">
        <f>B18-D18</f>
        <v>0</v>
      </c>
      <c r="K18" s="450"/>
    </row>
    <row r="19" spans="1:11" ht="12.75">
      <c r="A19" s="1250" t="s">
        <v>1005</v>
      </c>
      <c r="B19" s="1216">
        <v>0</v>
      </c>
      <c r="C19" s="1216"/>
      <c r="D19" s="1216">
        <v>0</v>
      </c>
      <c r="E19" s="1216"/>
      <c r="F19" s="1216">
        <v>0</v>
      </c>
      <c r="G19" s="1216"/>
      <c r="H19" s="1216">
        <v>0</v>
      </c>
      <c r="I19" s="1216"/>
      <c r="J19" s="1252">
        <f>B19-D19</f>
        <v>0</v>
      </c>
      <c r="K19" s="1241"/>
    </row>
    <row r="20" spans="1:11" ht="12.75">
      <c r="A20" s="1251"/>
      <c r="B20" s="1256">
        <v>11535746.620000001</v>
      </c>
      <c r="C20" s="1256"/>
      <c r="D20" s="1256">
        <v>2857378.21</v>
      </c>
      <c r="E20" s="1256"/>
      <c r="F20" s="1256">
        <v>2137880.59</v>
      </c>
      <c r="G20" s="1256"/>
      <c r="H20" s="1256">
        <v>0</v>
      </c>
      <c r="I20" s="1256"/>
      <c r="J20" s="1253"/>
      <c r="K20" s="1241"/>
    </row>
    <row r="21" spans="1:11" ht="12.75">
      <c r="A21" s="454" t="s">
        <v>278</v>
      </c>
      <c r="B21" s="1243">
        <f>B17-ABS(B18)-ABS(B19)+B20</f>
        <v>23071493.240000002</v>
      </c>
      <c r="C21" s="1243"/>
      <c r="D21" s="1243">
        <f>D17-ABS(D18)-ABS(D19)+D20</f>
        <v>5714756.42</v>
      </c>
      <c r="E21" s="1243"/>
      <c r="F21" s="1243">
        <f>F17-ABS(F18)-ABS(F19)+F20</f>
        <v>4275761.18</v>
      </c>
      <c r="G21" s="1243"/>
      <c r="H21" s="1243">
        <f>H17-ABS(H18)-ABS(H19)+H20</f>
        <v>0</v>
      </c>
      <c r="I21" s="1243"/>
      <c r="J21" s="459">
        <f>B21-D21</f>
        <v>17356736.82</v>
      </c>
      <c r="K21" s="450"/>
    </row>
    <row r="22" spans="1:11" ht="12.75">
      <c r="A22" s="1223"/>
      <c r="B22" s="1223"/>
      <c r="C22" s="1223"/>
      <c r="D22" s="1223"/>
      <c r="E22" s="1223"/>
      <c r="F22" s="1223"/>
      <c r="G22" s="1223"/>
      <c r="H22" s="1223"/>
      <c r="I22" s="1223"/>
      <c r="J22" s="1224"/>
      <c r="K22" s="450"/>
    </row>
    <row r="23" spans="1:11" ht="12.75">
      <c r="A23" s="462" t="s">
        <v>416</v>
      </c>
      <c r="B23" s="1236">
        <f>B12-B21</f>
        <v>-23070448.240000002</v>
      </c>
      <c r="C23" s="1092"/>
      <c r="D23" s="1236">
        <f>F12-D21</f>
        <v>-5714756.42</v>
      </c>
      <c r="E23" s="1091"/>
      <c r="F23" s="1237"/>
      <c r="G23" s="1238"/>
      <c r="H23" s="1237"/>
      <c r="I23" s="1238"/>
      <c r="J23" s="1236">
        <f>J12-J21</f>
        <v>-17355691.82</v>
      </c>
      <c r="K23" s="1241"/>
    </row>
    <row r="24" spans="1:11" ht="12.75">
      <c r="A24" s="463" t="s">
        <v>417</v>
      </c>
      <c r="B24" s="1169"/>
      <c r="C24" s="1096"/>
      <c r="D24" s="1169"/>
      <c r="E24" s="1095"/>
      <c r="F24" s="1239"/>
      <c r="G24" s="1240"/>
      <c r="H24" s="1239"/>
      <c r="I24" s="1240"/>
      <c r="J24" s="1169"/>
      <c r="K24" s="1241"/>
    </row>
    <row r="25" spans="1:11" ht="12.75" customHeight="1">
      <c r="A25" s="1255" t="s">
        <v>1042</v>
      </c>
      <c r="B25" s="1255"/>
      <c r="C25" s="1255"/>
      <c r="D25" s="1255"/>
      <c r="E25" s="1255"/>
      <c r="F25" s="1255"/>
      <c r="G25" s="1255"/>
      <c r="H25" s="1255"/>
      <c r="I25" s="1255"/>
      <c r="J25" s="1255"/>
      <c r="K25" s="450"/>
    </row>
    <row r="26" spans="1:11" ht="12.75">
      <c r="A26" s="1244" t="s">
        <v>418</v>
      </c>
      <c r="B26" s="1244"/>
      <c r="C26" s="1244"/>
      <c r="D26" s="1244"/>
      <c r="E26" s="1244"/>
      <c r="F26" s="1244"/>
      <c r="G26" s="1244"/>
      <c r="H26" s="1244"/>
      <c r="I26" s="1244"/>
      <c r="J26" s="1244"/>
      <c r="K26" s="1241"/>
    </row>
    <row r="27" spans="1:11" ht="15.75">
      <c r="A27" s="1248" t="s">
        <v>853</v>
      </c>
      <c r="B27" s="1248"/>
      <c r="C27" s="1248"/>
      <c r="D27" s="1248"/>
      <c r="E27" s="1248"/>
      <c r="F27" s="1248"/>
      <c r="G27" s="1248"/>
      <c r="H27" s="1248"/>
      <c r="I27" s="1248"/>
      <c r="J27" s="1248"/>
      <c r="K27" s="1241"/>
    </row>
    <row r="28" spans="1:11" ht="15.75">
      <c r="A28" s="1248"/>
      <c r="B28" s="1248"/>
      <c r="C28" s="1248"/>
      <c r="D28" s="1248"/>
      <c r="E28" s="1248"/>
      <c r="F28" s="1248"/>
      <c r="G28" s="1248"/>
      <c r="H28" s="1248"/>
      <c r="I28" s="1248"/>
      <c r="J28" s="1248"/>
      <c r="K28" s="1241"/>
    </row>
    <row r="29" spans="1:11" ht="12.75">
      <c r="A29" s="1249"/>
      <c r="B29" s="1249"/>
      <c r="C29" s="1249"/>
      <c r="D29" s="1249"/>
      <c r="E29" s="1249"/>
      <c r="F29" s="1249"/>
      <c r="G29" s="1249"/>
      <c r="H29" s="1249"/>
      <c r="I29" s="1249"/>
      <c r="J29" s="1249"/>
      <c r="K29" s="1241"/>
    </row>
    <row r="30" spans="1:11" ht="12.75">
      <c r="A30" s="1249"/>
      <c r="B30" s="1249"/>
      <c r="C30" s="1249"/>
      <c r="D30" s="1249"/>
      <c r="E30" s="1249"/>
      <c r="F30" s="1249"/>
      <c r="G30" s="1249"/>
      <c r="H30" s="1249"/>
      <c r="I30" s="1249"/>
      <c r="J30" s="1249"/>
      <c r="K30" s="1241"/>
    </row>
  </sheetData>
  <sheetProtection password="C236" sheet="1" objects="1" scenarios="1" formatColumns="0" selectLockedCells="1"/>
  <mergeCells count="70">
    <mergeCell ref="B19:C19"/>
    <mergeCell ref="D19:E19"/>
    <mergeCell ref="F19:G19"/>
    <mergeCell ref="H19:I19"/>
    <mergeCell ref="B20:C20"/>
    <mergeCell ref="D20:E20"/>
    <mergeCell ref="F20:G20"/>
    <mergeCell ref="H20:I20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3:J13"/>
    <mergeCell ref="D17:E17"/>
    <mergeCell ref="A10:A11"/>
    <mergeCell ref="B11:E11"/>
    <mergeCell ref="B10:E10"/>
    <mergeCell ref="F11:I11"/>
    <mergeCell ref="F10:I10"/>
    <mergeCell ref="B12:E12"/>
    <mergeCell ref="D18:E18"/>
    <mergeCell ref="H18:I18"/>
    <mergeCell ref="D14:E15"/>
    <mergeCell ref="B14:C15"/>
    <mergeCell ref="F14:G16"/>
    <mergeCell ref="H14:I16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F15" sqref="F15:G15"/>
    </sheetView>
  </sheetViews>
  <sheetFormatPr defaultColWidth="7.8515625" defaultRowHeight="11.25" customHeight="1"/>
  <cols>
    <col min="1" max="1" width="10.00390625" style="467" customWidth="1"/>
    <col min="2" max="2" width="6.28125" style="467" customWidth="1"/>
    <col min="3" max="3" width="14.00390625" style="467" customWidth="1"/>
    <col min="4" max="4" width="10.28125" style="467" customWidth="1"/>
    <col min="5" max="5" width="12.00390625" style="467" customWidth="1"/>
    <col min="6" max="6" width="12.57421875" style="467" customWidth="1"/>
    <col min="7" max="7" width="10.140625" style="467" customWidth="1"/>
    <col min="8" max="8" width="16.140625" style="467" customWidth="1"/>
    <col min="9" max="9" width="8.421875" style="467" customWidth="1"/>
    <col min="10" max="10" width="25.57421875" style="467" bestFit="1" customWidth="1"/>
    <col min="11" max="11" width="2.421875" style="467" customWidth="1"/>
    <col min="12" max="16384" width="7.8515625" style="467" customWidth="1"/>
  </cols>
  <sheetData>
    <row r="1" spans="1:3" ht="15.75">
      <c r="A1" s="138" t="s">
        <v>467</v>
      </c>
      <c r="B1" s="466"/>
      <c r="C1" s="466"/>
    </row>
    <row r="2" spans="12:15" ht="11.25" customHeight="1">
      <c r="L2" s="1290" t="s">
        <v>997</v>
      </c>
      <c r="M2" s="1290"/>
      <c r="N2" s="1290"/>
      <c r="O2" s="1290"/>
    </row>
    <row r="3" spans="1:15" ht="11.25" customHeight="1">
      <c r="A3" s="1288" t="str">
        <f>'Informações Iniciais'!A1:B1</f>
        <v>PODER EXECUTIVO</v>
      </c>
      <c r="B3" s="1288"/>
      <c r="C3" s="1288"/>
      <c r="D3" s="1288"/>
      <c r="E3" s="1288"/>
      <c r="F3" s="1288"/>
      <c r="G3" s="1288"/>
      <c r="H3" s="1288"/>
      <c r="I3" s="1288"/>
      <c r="J3" s="1288"/>
      <c r="L3" s="1290"/>
      <c r="M3" s="1290"/>
      <c r="N3" s="1290"/>
      <c r="O3" s="1290"/>
    </row>
    <row r="4" spans="1:10" ht="11.25" customHeight="1">
      <c r="A4" s="1288" t="s">
        <v>109</v>
      </c>
      <c r="B4" s="1288"/>
      <c r="C4" s="1288"/>
      <c r="D4" s="1288"/>
      <c r="E4" s="1288"/>
      <c r="F4" s="1288"/>
      <c r="G4" s="1288"/>
      <c r="H4" s="1288"/>
      <c r="I4" s="1288"/>
      <c r="J4" s="1288"/>
    </row>
    <row r="5" spans="1:20" ht="11.25" customHeight="1">
      <c r="A5" s="1289" t="s">
        <v>168</v>
      </c>
      <c r="B5" s="1289"/>
      <c r="C5" s="1289"/>
      <c r="D5" s="1289"/>
      <c r="E5" s="1289"/>
      <c r="F5" s="1289"/>
      <c r="G5" s="1289"/>
      <c r="H5" s="1289"/>
      <c r="I5" s="1289"/>
      <c r="J5" s="1289"/>
      <c r="L5" s="1291" t="s">
        <v>949</v>
      </c>
      <c r="M5" s="1291"/>
      <c r="N5" s="1291"/>
      <c r="O5" s="1291"/>
      <c r="P5" s="468"/>
      <c r="Q5" s="468"/>
      <c r="R5" s="468"/>
      <c r="S5" s="468"/>
      <c r="T5" s="468"/>
    </row>
    <row r="6" spans="1:20" ht="11.25" customHeight="1">
      <c r="A6" s="1288" t="s">
        <v>202</v>
      </c>
      <c r="B6" s="1288"/>
      <c r="C6" s="1288"/>
      <c r="D6" s="1288"/>
      <c r="E6" s="1288"/>
      <c r="F6" s="1288"/>
      <c r="G6" s="1288"/>
      <c r="H6" s="1288"/>
      <c r="I6" s="1288"/>
      <c r="J6" s="1288"/>
      <c r="L6" s="1291"/>
      <c r="M6" s="1291"/>
      <c r="N6" s="1291"/>
      <c r="O6" s="1291"/>
      <c r="P6" s="468"/>
      <c r="Q6" s="468"/>
      <c r="R6" s="468"/>
      <c r="S6" s="468"/>
      <c r="T6" s="468"/>
    </row>
    <row r="7" spans="1:20" ht="11.25" customHeight="1">
      <c r="A7" s="1288" t="str">
        <f>'Informações Iniciais'!A5:B5</f>
        <v>5º Bimestre de 2016</v>
      </c>
      <c r="B7" s="1288"/>
      <c r="C7" s="1288"/>
      <c r="D7" s="1288"/>
      <c r="E7" s="1288"/>
      <c r="F7" s="1288"/>
      <c r="G7" s="1288"/>
      <c r="H7" s="1288"/>
      <c r="I7" s="1288"/>
      <c r="J7" s="1288"/>
      <c r="L7" s="1291"/>
      <c r="M7" s="1291"/>
      <c r="N7" s="1291"/>
      <c r="O7" s="1291"/>
      <c r="P7" s="468"/>
      <c r="Q7" s="468"/>
      <c r="R7" s="468"/>
      <c r="S7" s="468"/>
      <c r="T7" s="468"/>
    </row>
    <row r="8" spans="12:20" ht="11.25" customHeight="1">
      <c r="L8" s="1291"/>
      <c r="M8" s="1291"/>
      <c r="N8" s="1291"/>
      <c r="O8" s="1291"/>
      <c r="P8" s="468"/>
      <c r="Q8" s="468"/>
      <c r="R8" s="468"/>
      <c r="S8" s="468"/>
      <c r="T8" s="468"/>
    </row>
    <row r="9" spans="1:20" ht="11.25" customHeight="1">
      <c r="A9" s="467" t="s">
        <v>466</v>
      </c>
      <c r="D9" s="469"/>
      <c r="E9" s="1287"/>
      <c r="F9" s="1287"/>
      <c r="G9" s="469"/>
      <c r="J9" s="470" t="s">
        <v>519</v>
      </c>
      <c r="L9" s="1291"/>
      <c r="M9" s="1291"/>
      <c r="N9" s="1291"/>
      <c r="O9" s="1291"/>
      <c r="P9" s="468"/>
      <c r="Q9" s="468"/>
      <c r="R9" s="468"/>
      <c r="S9" s="468"/>
      <c r="T9" s="468"/>
    </row>
    <row r="10" spans="1:20" ht="15" customHeight="1">
      <c r="A10" s="1269" t="s">
        <v>279</v>
      </c>
      <c r="B10" s="1269"/>
      <c r="C10" s="1270"/>
      <c r="D10" s="1281" t="s">
        <v>341</v>
      </c>
      <c r="E10" s="1282"/>
      <c r="F10" s="1281" t="s">
        <v>178</v>
      </c>
      <c r="G10" s="1282"/>
      <c r="H10" s="1281" t="s">
        <v>343</v>
      </c>
      <c r="I10" s="1282"/>
      <c r="J10" s="471" t="s">
        <v>166</v>
      </c>
      <c r="L10" s="1291"/>
      <c r="M10" s="1291"/>
      <c r="N10" s="1291"/>
      <c r="O10" s="1291"/>
      <c r="P10" s="468"/>
      <c r="Q10" s="468"/>
      <c r="R10" s="468"/>
      <c r="S10" s="468"/>
      <c r="T10" s="468"/>
    </row>
    <row r="11" spans="1:20" ht="15" customHeight="1">
      <c r="A11" s="1271"/>
      <c r="B11" s="1271"/>
      <c r="C11" s="1272"/>
      <c r="D11" s="1283" t="s">
        <v>342</v>
      </c>
      <c r="E11" s="1284"/>
      <c r="F11" s="1283" t="s">
        <v>342</v>
      </c>
      <c r="G11" s="1284"/>
      <c r="H11" s="1283" t="s">
        <v>344</v>
      </c>
      <c r="I11" s="1284"/>
      <c r="J11" s="472" t="s">
        <v>167</v>
      </c>
      <c r="L11" s="1291"/>
      <c r="M11" s="1291"/>
      <c r="N11" s="1291"/>
      <c r="O11" s="1291"/>
      <c r="P11" s="468"/>
      <c r="Q11" s="468"/>
      <c r="R11" s="468"/>
      <c r="S11" s="468"/>
      <c r="T11" s="468"/>
    </row>
    <row r="12" spans="1:15" ht="19.5" customHeight="1">
      <c r="A12" s="1273"/>
      <c r="B12" s="1273"/>
      <c r="C12" s="1274"/>
      <c r="D12" s="1285" t="s">
        <v>120</v>
      </c>
      <c r="E12" s="1286"/>
      <c r="F12" s="1285" t="s">
        <v>121</v>
      </c>
      <c r="G12" s="1286"/>
      <c r="H12" s="1285" t="s">
        <v>345</v>
      </c>
      <c r="I12" s="1286"/>
      <c r="J12" s="473" t="s">
        <v>346</v>
      </c>
      <c r="L12" s="1291"/>
      <c r="M12" s="1291"/>
      <c r="N12" s="1291"/>
      <c r="O12" s="1291"/>
    </row>
    <row r="13" spans="1:15" ht="11.25" customHeight="1">
      <c r="A13" s="1279"/>
      <c r="B13" s="1279"/>
      <c r="C13" s="1280"/>
      <c r="D13" s="1277"/>
      <c r="E13" s="1278"/>
      <c r="F13" s="1277"/>
      <c r="G13" s="1278"/>
      <c r="H13" s="1275">
        <f>D13-F13</f>
        <v>0</v>
      </c>
      <c r="I13" s="1276"/>
      <c r="J13" s="465"/>
      <c r="L13" s="1291"/>
      <c r="M13" s="1291"/>
      <c r="N13" s="1291"/>
      <c r="O13" s="1291"/>
    </row>
    <row r="14" spans="1:15" ht="11.25">
      <c r="A14" s="1265"/>
      <c r="B14" s="1265"/>
      <c r="C14" s="1266"/>
      <c r="D14" s="1267"/>
      <c r="E14" s="1268"/>
      <c r="F14" s="1267"/>
      <c r="G14" s="1268"/>
      <c r="H14" s="1257">
        <f>D14-F14</f>
        <v>0</v>
      </c>
      <c r="I14" s="1258"/>
      <c r="J14" s="475">
        <f>J13+H14</f>
        <v>0</v>
      </c>
      <c r="L14" s="1291"/>
      <c r="M14" s="1291"/>
      <c r="N14" s="1291"/>
      <c r="O14" s="1291"/>
    </row>
    <row r="15" spans="1:15" ht="11.25">
      <c r="A15" s="1265"/>
      <c r="B15" s="1265"/>
      <c r="C15" s="1266"/>
      <c r="D15" s="1267"/>
      <c r="E15" s="1268"/>
      <c r="F15" s="1267"/>
      <c r="G15" s="1268"/>
      <c r="H15" s="1257">
        <f aca="true" t="shared" si="0" ref="H15:H78">D15-F15</f>
        <v>0</v>
      </c>
      <c r="I15" s="1258"/>
      <c r="J15" s="475">
        <f aca="true" t="shared" si="1" ref="J15:J78">J14+H15</f>
        <v>0</v>
      </c>
      <c r="L15" s="1291"/>
      <c r="M15" s="1291"/>
      <c r="N15" s="1291"/>
      <c r="O15" s="1291"/>
    </row>
    <row r="16" spans="1:15" ht="11.25">
      <c r="A16" s="1265"/>
      <c r="B16" s="1265"/>
      <c r="C16" s="1266"/>
      <c r="D16" s="1267"/>
      <c r="E16" s="1268"/>
      <c r="F16" s="1267"/>
      <c r="G16" s="1268"/>
      <c r="H16" s="1257">
        <f t="shared" si="0"/>
        <v>0</v>
      </c>
      <c r="I16" s="1258"/>
      <c r="J16" s="475">
        <f t="shared" si="1"/>
        <v>0</v>
      </c>
      <c r="L16" s="1291"/>
      <c r="M16" s="1291"/>
      <c r="N16" s="1291"/>
      <c r="O16" s="1291"/>
    </row>
    <row r="17" spans="1:20" ht="15.75" hidden="1">
      <c r="A17" s="1265"/>
      <c r="B17" s="1265"/>
      <c r="C17" s="1266"/>
      <c r="D17" s="1267"/>
      <c r="E17" s="1268"/>
      <c r="F17" s="1267"/>
      <c r="G17" s="1268"/>
      <c r="H17" s="1257">
        <f t="shared" si="0"/>
        <v>0</v>
      </c>
      <c r="I17" s="1258"/>
      <c r="J17" s="475">
        <f t="shared" si="1"/>
        <v>0</v>
      </c>
      <c r="L17" s="1291"/>
      <c r="M17" s="1291"/>
      <c r="N17" s="1291"/>
      <c r="O17" s="1291"/>
      <c r="P17" s="468"/>
      <c r="Q17" s="468"/>
      <c r="R17" s="468"/>
      <c r="S17" s="468"/>
      <c r="T17" s="468"/>
    </row>
    <row r="18" spans="1:20" ht="15.75" hidden="1">
      <c r="A18" s="1265"/>
      <c r="B18" s="1265"/>
      <c r="C18" s="1266"/>
      <c r="D18" s="1267"/>
      <c r="E18" s="1268"/>
      <c r="F18" s="1267"/>
      <c r="G18" s="1268"/>
      <c r="H18" s="1257">
        <f t="shared" si="0"/>
        <v>0</v>
      </c>
      <c r="I18" s="1258"/>
      <c r="J18" s="475">
        <f t="shared" si="1"/>
        <v>0</v>
      </c>
      <c r="L18" s="1291"/>
      <c r="M18" s="1291"/>
      <c r="N18" s="1291"/>
      <c r="O18" s="1291"/>
      <c r="P18" s="468"/>
      <c r="Q18" s="468"/>
      <c r="R18" s="468"/>
      <c r="S18" s="468"/>
      <c r="T18" s="468"/>
    </row>
    <row r="19" spans="1:20" ht="15.75" hidden="1">
      <c r="A19" s="1265"/>
      <c r="B19" s="1265"/>
      <c r="C19" s="1266"/>
      <c r="D19" s="1267"/>
      <c r="E19" s="1268"/>
      <c r="F19" s="1267"/>
      <c r="G19" s="1268"/>
      <c r="H19" s="1257">
        <f t="shared" si="0"/>
        <v>0</v>
      </c>
      <c r="I19" s="1258"/>
      <c r="J19" s="475">
        <f t="shared" si="1"/>
        <v>0</v>
      </c>
      <c r="L19" s="1291"/>
      <c r="M19" s="1291"/>
      <c r="N19" s="1291"/>
      <c r="O19" s="1291"/>
      <c r="P19" s="468"/>
      <c r="Q19" s="468"/>
      <c r="R19" s="468"/>
      <c r="S19" s="468"/>
      <c r="T19" s="468"/>
    </row>
    <row r="20" spans="1:20" ht="15.75" hidden="1">
      <c r="A20" s="1265"/>
      <c r="B20" s="1265"/>
      <c r="C20" s="1266"/>
      <c r="D20" s="1267"/>
      <c r="E20" s="1268"/>
      <c r="F20" s="1267"/>
      <c r="G20" s="1268"/>
      <c r="H20" s="1257">
        <f t="shared" si="0"/>
        <v>0</v>
      </c>
      <c r="I20" s="1258"/>
      <c r="J20" s="475">
        <f t="shared" si="1"/>
        <v>0</v>
      </c>
      <c r="L20" s="1291"/>
      <c r="M20" s="1291"/>
      <c r="N20" s="1291"/>
      <c r="O20" s="1291"/>
      <c r="P20" s="468"/>
      <c r="Q20" s="468"/>
      <c r="R20" s="468"/>
      <c r="S20" s="468"/>
      <c r="T20" s="468"/>
    </row>
    <row r="21" spans="1:20" ht="15.75" hidden="1">
      <c r="A21" s="1265"/>
      <c r="B21" s="1265"/>
      <c r="C21" s="1266"/>
      <c r="D21" s="1267"/>
      <c r="E21" s="1268"/>
      <c r="F21" s="1267"/>
      <c r="G21" s="1268"/>
      <c r="H21" s="1257">
        <f t="shared" si="0"/>
        <v>0</v>
      </c>
      <c r="I21" s="1258"/>
      <c r="J21" s="475">
        <f t="shared" si="1"/>
        <v>0</v>
      </c>
      <c r="L21" s="1291"/>
      <c r="M21" s="1291"/>
      <c r="N21" s="1291"/>
      <c r="O21" s="1291"/>
      <c r="P21" s="468"/>
      <c r="Q21" s="468"/>
      <c r="R21" s="468"/>
      <c r="S21" s="468"/>
      <c r="T21" s="468"/>
    </row>
    <row r="22" spans="1:20" ht="15.75" hidden="1">
      <c r="A22" s="1265"/>
      <c r="B22" s="1265"/>
      <c r="C22" s="1266"/>
      <c r="D22" s="1267"/>
      <c r="E22" s="1268"/>
      <c r="F22" s="1267"/>
      <c r="G22" s="1268"/>
      <c r="H22" s="1257">
        <f t="shared" si="0"/>
        <v>0</v>
      </c>
      <c r="I22" s="1258"/>
      <c r="J22" s="475">
        <f t="shared" si="1"/>
        <v>0</v>
      </c>
      <c r="L22" s="1291"/>
      <c r="M22" s="1291"/>
      <c r="N22" s="1291"/>
      <c r="O22" s="1291"/>
      <c r="P22" s="468"/>
      <c r="Q22" s="468"/>
      <c r="R22" s="468"/>
      <c r="S22" s="468"/>
      <c r="T22" s="468"/>
    </row>
    <row r="23" spans="1:20" ht="15.75" hidden="1">
      <c r="A23" s="1265"/>
      <c r="B23" s="1265"/>
      <c r="C23" s="1266"/>
      <c r="D23" s="1267"/>
      <c r="E23" s="1268"/>
      <c r="F23" s="1267"/>
      <c r="G23" s="1268"/>
      <c r="H23" s="1257">
        <f t="shared" si="0"/>
        <v>0</v>
      </c>
      <c r="I23" s="1258"/>
      <c r="J23" s="475">
        <f t="shared" si="1"/>
        <v>0</v>
      </c>
      <c r="L23" s="1291"/>
      <c r="M23" s="1291"/>
      <c r="N23" s="1291"/>
      <c r="O23" s="1291"/>
      <c r="P23" s="468"/>
      <c r="Q23" s="468"/>
      <c r="R23" s="468"/>
      <c r="S23" s="468"/>
      <c r="T23" s="468"/>
    </row>
    <row r="24" spans="1:20" ht="15.75" hidden="1">
      <c r="A24" s="1265"/>
      <c r="B24" s="1265"/>
      <c r="C24" s="1266"/>
      <c r="D24" s="1267"/>
      <c r="E24" s="1268"/>
      <c r="F24" s="1267"/>
      <c r="G24" s="1268"/>
      <c r="H24" s="1257">
        <f t="shared" si="0"/>
        <v>0</v>
      </c>
      <c r="I24" s="1258"/>
      <c r="J24" s="475">
        <f t="shared" si="1"/>
        <v>0</v>
      </c>
      <c r="L24" s="1291"/>
      <c r="M24" s="1291"/>
      <c r="N24" s="1291"/>
      <c r="O24" s="1291"/>
      <c r="P24" s="468"/>
      <c r="Q24" s="468"/>
      <c r="R24" s="468"/>
      <c r="S24" s="468"/>
      <c r="T24" s="468"/>
    </row>
    <row r="25" spans="1:20" ht="15.75" hidden="1">
      <c r="A25" s="1265"/>
      <c r="B25" s="1265"/>
      <c r="C25" s="1266"/>
      <c r="D25" s="1267"/>
      <c r="E25" s="1268"/>
      <c r="F25" s="1267"/>
      <c r="G25" s="1268"/>
      <c r="H25" s="1257">
        <f t="shared" si="0"/>
        <v>0</v>
      </c>
      <c r="I25" s="1258"/>
      <c r="J25" s="475">
        <f t="shared" si="1"/>
        <v>0</v>
      </c>
      <c r="L25" s="1291"/>
      <c r="M25" s="1291"/>
      <c r="N25" s="1291"/>
      <c r="O25" s="1291"/>
      <c r="P25" s="468"/>
      <c r="Q25" s="468"/>
      <c r="R25" s="468"/>
      <c r="S25" s="468"/>
      <c r="T25" s="468"/>
    </row>
    <row r="26" spans="1:20" ht="15.75" hidden="1">
      <c r="A26" s="1265"/>
      <c r="B26" s="1265"/>
      <c r="C26" s="1266"/>
      <c r="D26" s="1267"/>
      <c r="E26" s="1268"/>
      <c r="F26" s="1267"/>
      <c r="G26" s="1268"/>
      <c r="H26" s="1257">
        <f t="shared" si="0"/>
        <v>0</v>
      </c>
      <c r="I26" s="1258"/>
      <c r="J26" s="475">
        <f t="shared" si="1"/>
        <v>0</v>
      </c>
      <c r="L26" s="1291"/>
      <c r="M26" s="1291"/>
      <c r="N26" s="1291"/>
      <c r="O26" s="1291"/>
      <c r="P26" s="468"/>
      <c r="Q26" s="468"/>
      <c r="R26" s="468"/>
      <c r="S26" s="468"/>
      <c r="T26" s="468"/>
    </row>
    <row r="27" spans="1:20" ht="15.75" hidden="1">
      <c r="A27" s="1265"/>
      <c r="B27" s="1265"/>
      <c r="C27" s="1266"/>
      <c r="D27" s="1267"/>
      <c r="E27" s="1268"/>
      <c r="F27" s="1267"/>
      <c r="G27" s="1268"/>
      <c r="H27" s="1257">
        <f t="shared" si="0"/>
        <v>0</v>
      </c>
      <c r="I27" s="1258"/>
      <c r="J27" s="475">
        <f t="shared" si="1"/>
        <v>0</v>
      </c>
      <c r="L27" s="1291"/>
      <c r="M27" s="1291"/>
      <c r="N27" s="1291"/>
      <c r="O27" s="1291"/>
      <c r="P27" s="468"/>
      <c r="Q27" s="468"/>
      <c r="R27" s="468"/>
      <c r="S27" s="468"/>
      <c r="T27" s="468"/>
    </row>
    <row r="28" spans="1:20" ht="15.75" hidden="1">
      <c r="A28" s="1265"/>
      <c r="B28" s="1265"/>
      <c r="C28" s="1266"/>
      <c r="D28" s="1267"/>
      <c r="E28" s="1268"/>
      <c r="F28" s="1267"/>
      <c r="G28" s="1268"/>
      <c r="H28" s="1257">
        <f t="shared" si="0"/>
        <v>0</v>
      </c>
      <c r="I28" s="1258"/>
      <c r="J28" s="475">
        <f t="shared" si="1"/>
        <v>0</v>
      </c>
      <c r="L28" s="1291"/>
      <c r="M28" s="1291"/>
      <c r="N28" s="1291"/>
      <c r="O28" s="1291"/>
      <c r="P28" s="468"/>
      <c r="Q28" s="468"/>
      <c r="R28" s="468"/>
      <c r="S28" s="468"/>
      <c r="T28" s="468"/>
    </row>
    <row r="29" spans="1:20" ht="15.75" hidden="1">
      <c r="A29" s="1265"/>
      <c r="B29" s="1265"/>
      <c r="C29" s="1266"/>
      <c r="D29" s="1267"/>
      <c r="E29" s="1268"/>
      <c r="F29" s="1267"/>
      <c r="G29" s="1268"/>
      <c r="H29" s="1257">
        <f t="shared" si="0"/>
        <v>0</v>
      </c>
      <c r="I29" s="1258"/>
      <c r="J29" s="475">
        <f t="shared" si="1"/>
        <v>0</v>
      </c>
      <c r="L29" s="1291"/>
      <c r="M29" s="1291"/>
      <c r="N29" s="1291"/>
      <c r="O29" s="1291"/>
      <c r="P29" s="468"/>
      <c r="Q29" s="468"/>
      <c r="R29" s="468"/>
      <c r="S29" s="468"/>
      <c r="T29" s="468"/>
    </row>
    <row r="30" spans="1:20" ht="15.75" hidden="1">
      <c r="A30" s="1265"/>
      <c r="B30" s="1265"/>
      <c r="C30" s="1266"/>
      <c r="D30" s="1267"/>
      <c r="E30" s="1268"/>
      <c r="F30" s="1267"/>
      <c r="G30" s="1268"/>
      <c r="H30" s="1257">
        <f t="shared" si="0"/>
        <v>0</v>
      </c>
      <c r="I30" s="1258"/>
      <c r="J30" s="475">
        <f t="shared" si="1"/>
        <v>0</v>
      </c>
      <c r="L30" s="1291"/>
      <c r="M30" s="1291"/>
      <c r="N30" s="1291"/>
      <c r="O30" s="1291"/>
      <c r="P30" s="468"/>
      <c r="Q30" s="468"/>
      <c r="R30" s="468"/>
      <c r="S30" s="468"/>
      <c r="T30" s="468"/>
    </row>
    <row r="31" spans="1:20" ht="15.75" hidden="1">
      <c r="A31" s="1265"/>
      <c r="B31" s="1265"/>
      <c r="C31" s="1266"/>
      <c r="D31" s="1267"/>
      <c r="E31" s="1268"/>
      <c r="F31" s="1267"/>
      <c r="G31" s="1268"/>
      <c r="H31" s="1257">
        <f t="shared" si="0"/>
        <v>0</v>
      </c>
      <c r="I31" s="1258"/>
      <c r="J31" s="475">
        <f t="shared" si="1"/>
        <v>0</v>
      </c>
      <c r="L31" s="1291"/>
      <c r="M31" s="1291"/>
      <c r="N31" s="1291"/>
      <c r="O31" s="1291"/>
      <c r="P31" s="468"/>
      <c r="Q31" s="468"/>
      <c r="R31" s="468"/>
      <c r="S31" s="468"/>
      <c r="T31" s="468"/>
    </row>
    <row r="32" spans="1:20" ht="15.75" hidden="1">
      <c r="A32" s="1265"/>
      <c r="B32" s="1265"/>
      <c r="C32" s="1266"/>
      <c r="D32" s="1267"/>
      <c r="E32" s="1268"/>
      <c r="F32" s="1267"/>
      <c r="G32" s="1268"/>
      <c r="H32" s="1257">
        <f t="shared" si="0"/>
        <v>0</v>
      </c>
      <c r="I32" s="1258"/>
      <c r="J32" s="475">
        <f t="shared" si="1"/>
        <v>0</v>
      </c>
      <c r="L32" s="1291"/>
      <c r="M32" s="1291"/>
      <c r="N32" s="1291"/>
      <c r="O32" s="1291"/>
      <c r="P32" s="468"/>
      <c r="Q32" s="468"/>
      <c r="R32" s="468"/>
      <c r="S32" s="468"/>
      <c r="T32" s="468"/>
    </row>
    <row r="33" spans="1:20" ht="15.75" hidden="1">
      <c r="A33" s="1265"/>
      <c r="B33" s="1265"/>
      <c r="C33" s="1266"/>
      <c r="D33" s="1267"/>
      <c r="E33" s="1268"/>
      <c r="F33" s="1267"/>
      <c r="G33" s="1268"/>
      <c r="H33" s="1257">
        <f t="shared" si="0"/>
        <v>0</v>
      </c>
      <c r="I33" s="1258"/>
      <c r="J33" s="475">
        <f t="shared" si="1"/>
        <v>0</v>
      </c>
      <c r="L33" s="1291"/>
      <c r="M33" s="1291"/>
      <c r="N33" s="1291"/>
      <c r="O33" s="1291"/>
      <c r="P33" s="468"/>
      <c r="Q33" s="468"/>
      <c r="R33" s="468"/>
      <c r="S33" s="468"/>
      <c r="T33" s="468"/>
    </row>
    <row r="34" spans="1:20" ht="15.75" hidden="1">
      <c r="A34" s="1265"/>
      <c r="B34" s="1265"/>
      <c r="C34" s="1266"/>
      <c r="D34" s="1267"/>
      <c r="E34" s="1268"/>
      <c r="F34" s="1267"/>
      <c r="G34" s="1268"/>
      <c r="H34" s="1257">
        <f t="shared" si="0"/>
        <v>0</v>
      </c>
      <c r="I34" s="1258"/>
      <c r="J34" s="475">
        <f t="shared" si="1"/>
        <v>0</v>
      </c>
      <c r="L34" s="1291"/>
      <c r="M34" s="1291"/>
      <c r="N34" s="1291"/>
      <c r="O34" s="1291"/>
      <c r="P34" s="468"/>
      <c r="Q34" s="468"/>
      <c r="R34" s="468"/>
      <c r="S34" s="468"/>
      <c r="T34" s="468"/>
    </row>
    <row r="35" spans="1:20" ht="15.75" hidden="1">
      <c r="A35" s="1265"/>
      <c r="B35" s="1265"/>
      <c r="C35" s="1266"/>
      <c r="D35" s="1267"/>
      <c r="E35" s="1268"/>
      <c r="F35" s="1267"/>
      <c r="G35" s="1268"/>
      <c r="H35" s="1257">
        <f t="shared" si="0"/>
        <v>0</v>
      </c>
      <c r="I35" s="1258"/>
      <c r="J35" s="475">
        <f t="shared" si="1"/>
        <v>0</v>
      </c>
      <c r="L35" s="1291"/>
      <c r="M35" s="1291"/>
      <c r="N35" s="1291"/>
      <c r="O35" s="1291"/>
      <c r="P35" s="468"/>
      <c r="Q35" s="468"/>
      <c r="R35" s="468"/>
      <c r="S35" s="468"/>
      <c r="T35" s="468"/>
    </row>
    <row r="36" spans="1:20" ht="15.75" hidden="1">
      <c r="A36" s="1265"/>
      <c r="B36" s="1265"/>
      <c r="C36" s="1266"/>
      <c r="D36" s="1267"/>
      <c r="E36" s="1268"/>
      <c r="F36" s="1267"/>
      <c r="G36" s="1268"/>
      <c r="H36" s="1257">
        <f t="shared" si="0"/>
        <v>0</v>
      </c>
      <c r="I36" s="1258"/>
      <c r="J36" s="475">
        <f t="shared" si="1"/>
        <v>0</v>
      </c>
      <c r="L36" s="1291"/>
      <c r="M36" s="1291"/>
      <c r="N36" s="1291"/>
      <c r="O36" s="1291"/>
      <c r="P36" s="468"/>
      <c r="Q36" s="468"/>
      <c r="R36" s="468"/>
      <c r="S36" s="468"/>
      <c r="T36" s="468"/>
    </row>
    <row r="37" spans="1:20" ht="15.75" hidden="1">
      <c r="A37" s="1265"/>
      <c r="B37" s="1265"/>
      <c r="C37" s="1266"/>
      <c r="D37" s="1267"/>
      <c r="E37" s="1268"/>
      <c r="F37" s="1267"/>
      <c r="G37" s="1268"/>
      <c r="H37" s="1257">
        <f t="shared" si="0"/>
        <v>0</v>
      </c>
      <c r="I37" s="1258"/>
      <c r="J37" s="475">
        <f t="shared" si="1"/>
        <v>0</v>
      </c>
      <c r="L37" s="1291"/>
      <c r="M37" s="1291"/>
      <c r="N37" s="1291"/>
      <c r="O37" s="1291"/>
      <c r="P37" s="468"/>
      <c r="Q37" s="468"/>
      <c r="R37" s="468"/>
      <c r="S37" s="468"/>
      <c r="T37" s="468"/>
    </row>
    <row r="38" spans="1:20" ht="15.75" hidden="1">
      <c r="A38" s="1265"/>
      <c r="B38" s="1265"/>
      <c r="C38" s="1266"/>
      <c r="D38" s="1267"/>
      <c r="E38" s="1268"/>
      <c r="F38" s="1267"/>
      <c r="G38" s="1268"/>
      <c r="H38" s="1257">
        <f t="shared" si="0"/>
        <v>0</v>
      </c>
      <c r="I38" s="1258"/>
      <c r="J38" s="475">
        <f t="shared" si="1"/>
        <v>0</v>
      </c>
      <c r="L38" s="1291"/>
      <c r="M38" s="1291"/>
      <c r="N38" s="1291"/>
      <c r="O38" s="1291"/>
      <c r="P38" s="468"/>
      <c r="Q38" s="468"/>
      <c r="R38" s="468"/>
      <c r="S38" s="468"/>
      <c r="T38" s="468"/>
    </row>
    <row r="39" spans="1:20" ht="15.75" hidden="1">
      <c r="A39" s="1265"/>
      <c r="B39" s="1265"/>
      <c r="C39" s="1266"/>
      <c r="D39" s="1267"/>
      <c r="E39" s="1268"/>
      <c r="F39" s="1267"/>
      <c r="G39" s="1268"/>
      <c r="H39" s="1257">
        <f t="shared" si="0"/>
        <v>0</v>
      </c>
      <c r="I39" s="1258"/>
      <c r="J39" s="475">
        <f t="shared" si="1"/>
        <v>0</v>
      </c>
      <c r="L39" s="1291"/>
      <c r="M39" s="1291"/>
      <c r="N39" s="1291"/>
      <c r="O39" s="1291"/>
      <c r="P39" s="468"/>
      <c r="Q39" s="468"/>
      <c r="R39" s="468"/>
      <c r="S39" s="468"/>
      <c r="T39" s="468"/>
    </row>
    <row r="40" spans="1:20" ht="15.75" hidden="1">
      <c r="A40" s="1265"/>
      <c r="B40" s="1265"/>
      <c r="C40" s="1266"/>
      <c r="D40" s="1267"/>
      <c r="E40" s="1268"/>
      <c r="F40" s="1267"/>
      <c r="G40" s="1268"/>
      <c r="H40" s="1257">
        <f t="shared" si="0"/>
        <v>0</v>
      </c>
      <c r="I40" s="1258"/>
      <c r="J40" s="475">
        <f t="shared" si="1"/>
        <v>0</v>
      </c>
      <c r="L40" s="1291"/>
      <c r="M40" s="1291"/>
      <c r="N40" s="1291"/>
      <c r="O40" s="1291"/>
      <c r="P40" s="468"/>
      <c r="Q40" s="468"/>
      <c r="R40" s="468"/>
      <c r="S40" s="468"/>
      <c r="T40" s="468"/>
    </row>
    <row r="41" spans="1:20" ht="15.75" hidden="1">
      <c r="A41" s="1265"/>
      <c r="B41" s="1265"/>
      <c r="C41" s="1266"/>
      <c r="D41" s="1267"/>
      <c r="E41" s="1268"/>
      <c r="F41" s="1267"/>
      <c r="G41" s="1268"/>
      <c r="H41" s="1257">
        <f t="shared" si="0"/>
        <v>0</v>
      </c>
      <c r="I41" s="1258"/>
      <c r="J41" s="475">
        <f t="shared" si="1"/>
        <v>0</v>
      </c>
      <c r="L41" s="1291"/>
      <c r="M41" s="1291"/>
      <c r="N41" s="1291"/>
      <c r="O41" s="1291"/>
      <c r="P41" s="468"/>
      <c r="Q41" s="468"/>
      <c r="R41" s="468"/>
      <c r="S41" s="468"/>
      <c r="T41" s="468"/>
    </row>
    <row r="42" spans="1:20" ht="15.75" hidden="1">
      <c r="A42" s="1265"/>
      <c r="B42" s="1265"/>
      <c r="C42" s="1266"/>
      <c r="D42" s="1267"/>
      <c r="E42" s="1268"/>
      <c r="F42" s="1267"/>
      <c r="G42" s="1268"/>
      <c r="H42" s="1257">
        <f t="shared" si="0"/>
        <v>0</v>
      </c>
      <c r="I42" s="1258"/>
      <c r="J42" s="475">
        <f t="shared" si="1"/>
        <v>0</v>
      </c>
      <c r="L42" s="1291"/>
      <c r="M42" s="1291"/>
      <c r="N42" s="1291"/>
      <c r="O42" s="1291"/>
      <c r="P42" s="468"/>
      <c r="Q42" s="468"/>
      <c r="R42" s="468"/>
      <c r="S42" s="468"/>
      <c r="T42" s="468"/>
    </row>
    <row r="43" spans="1:20" ht="15.75" hidden="1">
      <c r="A43" s="1265"/>
      <c r="B43" s="1265"/>
      <c r="C43" s="1266"/>
      <c r="D43" s="1267"/>
      <c r="E43" s="1268"/>
      <c r="F43" s="1267"/>
      <c r="G43" s="1268"/>
      <c r="H43" s="1257">
        <f t="shared" si="0"/>
        <v>0</v>
      </c>
      <c r="I43" s="1258"/>
      <c r="J43" s="475">
        <f t="shared" si="1"/>
        <v>0</v>
      </c>
      <c r="L43" s="1291"/>
      <c r="M43" s="1291"/>
      <c r="N43" s="1291"/>
      <c r="O43" s="1291"/>
      <c r="P43" s="468"/>
      <c r="Q43" s="468"/>
      <c r="R43" s="468"/>
      <c r="S43" s="468"/>
      <c r="T43" s="468"/>
    </row>
    <row r="44" spans="1:20" ht="15.75" hidden="1">
      <c r="A44" s="1265"/>
      <c r="B44" s="1265"/>
      <c r="C44" s="1266"/>
      <c r="D44" s="1267"/>
      <c r="E44" s="1268"/>
      <c r="F44" s="1267"/>
      <c r="G44" s="1268"/>
      <c r="H44" s="1257">
        <f t="shared" si="0"/>
        <v>0</v>
      </c>
      <c r="I44" s="1258"/>
      <c r="J44" s="475">
        <f t="shared" si="1"/>
        <v>0</v>
      </c>
      <c r="L44" s="1291"/>
      <c r="M44" s="1291"/>
      <c r="N44" s="1291"/>
      <c r="O44" s="1291"/>
      <c r="P44" s="468"/>
      <c r="Q44" s="468"/>
      <c r="R44" s="468"/>
      <c r="S44" s="468"/>
      <c r="T44" s="468"/>
    </row>
    <row r="45" spans="1:20" ht="15.75" hidden="1">
      <c r="A45" s="1265"/>
      <c r="B45" s="1265"/>
      <c r="C45" s="1266"/>
      <c r="D45" s="1267"/>
      <c r="E45" s="1268"/>
      <c r="F45" s="1267"/>
      <c r="G45" s="1268"/>
      <c r="H45" s="1257">
        <f t="shared" si="0"/>
        <v>0</v>
      </c>
      <c r="I45" s="1258"/>
      <c r="J45" s="475">
        <f t="shared" si="1"/>
        <v>0</v>
      </c>
      <c r="L45" s="1291"/>
      <c r="M45" s="1291"/>
      <c r="N45" s="1291"/>
      <c r="O45" s="1291"/>
      <c r="P45" s="468"/>
      <c r="Q45" s="468"/>
      <c r="R45" s="468"/>
      <c r="S45" s="468"/>
      <c r="T45" s="468"/>
    </row>
    <row r="46" spans="1:20" ht="15.75" hidden="1">
      <c r="A46" s="1265"/>
      <c r="B46" s="1265"/>
      <c r="C46" s="1266"/>
      <c r="D46" s="1267"/>
      <c r="E46" s="1268"/>
      <c r="F46" s="1267"/>
      <c r="G46" s="1268"/>
      <c r="H46" s="1257">
        <f t="shared" si="0"/>
        <v>0</v>
      </c>
      <c r="I46" s="1258"/>
      <c r="J46" s="475">
        <f t="shared" si="1"/>
        <v>0</v>
      </c>
      <c r="L46" s="1291"/>
      <c r="M46" s="1291"/>
      <c r="N46" s="1291"/>
      <c r="O46" s="1291"/>
      <c r="P46" s="468"/>
      <c r="Q46" s="468"/>
      <c r="R46" s="468"/>
      <c r="S46" s="468"/>
      <c r="T46" s="468"/>
    </row>
    <row r="47" spans="1:20" ht="15.75" hidden="1">
      <c r="A47" s="1265"/>
      <c r="B47" s="1265"/>
      <c r="C47" s="1266"/>
      <c r="D47" s="1267"/>
      <c r="E47" s="1268"/>
      <c r="F47" s="1267"/>
      <c r="G47" s="1268"/>
      <c r="H47" s="1257">
        <f t="shared" si="0"/>
        <v>0</v>
      </c>
      <c r="I47" s="1258"/>
      <c r="J47" s="475">
        <f t="shared" si="1"/>
        <v>0</v>
      </c>
      <c r="L47" s="1291"/>
      <c r="M47" s="1291"/>
      <c r="N47" s="1291"/>
      <c r="O47" s="1291"/>
      <c r="P47" s="468"/>
      <c r="Q47" s="468"/>
      <c r="R47" s="468"/>
      <c r="S47" s="468"/>
      <c r="T47" s="468"/>
    </row>
    <row r="48" spans="1:20" ht="15.75" hidden="1">
      <c r="A48" s="1265"/>
      <c r="B48" s="1265"/>
      <c r="C48" s="1266"/>
      <c r="D48" s="1267"/>
      <c r="E48" s="1268"/>
      <c r="F48" s="1267"/>
      <c r="G48" s="1268"/>
      <c r="H48" s="1257">
        <f t="shared" si="0"/>
        <v>0</v>
      </c>
      <c r="I48" s="1258"/>
      <c r="J48" s="475">
        <f t="shared" si="1"/>
        <v>0</v>
      </c>
      <c r="L48" s="1291"/>
      <c r="M48" s="1291"/>
      <c r="N48" s="1291"/>
      <c r="O48" s="1291"/>
      <c r="P48" s="468"/>
      <c r="Q48" s="468"/>
      <c r="R48" s="468"/>
      <c r="S48" s="468"/>
      <c r="T48" s="468"/>
    </row>
    <row r="49" spans="1:20" ht="15.75" hidden="1">
      <c r="A49" s="1265"/>
      <c r="B49" s="1265"/>
      <c r="C49" s="1266"/>
      <c r="D49" s="1267"/>
      <c r="E49" s="1268"/>
      <c r="F49" s="1267"/>
      <c r="G49" s="1268"/>
      <c r="H49" s="1257">
        <f t="shared" si="0"/>
        <v>0</v>
      </c>
      <c r="I49" s="1258"/>
      <c r="J49" s="475">
        <f t="shared" si="1"/>
        <v>0</v>
      </c>
      <c r="L49" s="1291"/>
      <c r="M49" s="1291"/>
      <c r="N49" s="1291"/>
      <c r="O49" s="1291"/>
      <c r="P49" s="468"/>
      <c r="Q49" s="468"/>
      <c r="R49" s="468"/>
      <c r="S49" s="468"/>
      <c r="T49" s="468"/>
    </row>
    <row r="50" spans="1:20" ht="15.75" hidden="1">
      <c r="A50" s="1265"/>
      <c r="B50" s="1265"/>
      <c r="C50" s="1266"/>
      <c r="D50" s="1267"/>
      <c r="E50" s="1268"/>
      <c r="F50" s="1267"/>
      <c r="G50" s="1268"/>
      <c r="H50" s="1257">
        <f t="shared" si="0"/>
        <v>0</v>
      </c>
      <c r="I50" s="1258"/>
      <c r="J50" s="475">
        <f t="shared" si="1"/>
        <v>0</v>
      </c>
      <c r="L50" s="1291"/>
      <c r="M50" s="1291"/>
      <c r="N50" s="1291"/>
      <c r="O50" s="1291"/>
      <c r="P50" s="468"/>
      <c r="Q50" s="468"/>
      <c r="R50" s="468"/>
      <c r="S50" s="468"/>
      <c r="T50" s="468"/>
    </row>
    <row r="51" spans="1:20" ht="15.75" hidden="1">
      <c r="A51" s="1265"/>
      <c r="B51" s="1265"/>
      <c r="C51" s="1266"/>
      <c r="D51" s="1267"/>
      <c r="E51" s="1268"/>
      <c r="F51" s="1267"/>
      <c r="G51" s="1268"/>
      <c r="H51" s="1257">
        <f t="shared" si="0"/>
        <v>0</v>
      </c>
      <c r="I51" s="1258"/>
      <c r="J51" s="475">
        <f t="shared" si="1"/>
        <v>0</v>
      </c>
      <c r="L51" s="1291"/>
      <c r="M51" s="1291"/>
      <c r="N51" s="1291"/>
      <c r="O51" s="1291"/>
      <c r="P51" s="468"/>
      <c r="Q51" s="468"/>
      <c r="R51" s="468"/>
      <c r="S51" s="468"/>
      <c r="T51" s="468"/>
    </row>
    <row r="52" spans="1:20" ht="15.75" hidden="1">
      <c r="A52" s="1265"/>
      <c r="B52" s="1265"/>
      <c r="C52" s="1266"/>
      <c r="D52" s="1267"/>
      <c r="E52" s="1268"/>
      <c r="F52" s="1267"/>
      <c r="G52" s="1268"/>
      <c r="H52" s="1257">
        <f t="shared" si="0"/>
        <v>0</v>
      </c>
      <c r="I52" s="1258"/>
      <c r="J52" s="475">
        <f t="shared" si="1"/>
        <v>0</v>
      </c>
      <c r="L52" s="1291"/>
      <c r="M52" s="1291"/>
      <c r="N52" s="1291"/>
      <c r="O52" s="1291"/>
      <c r="P52" s="468"/>
      <c r="Q52" s="468"/>
      <c r="R52" s="468"/>
      <c r="S52" s="468"/>
      <c r="T52" s="468"/>
    </row>
    <row r="53" spans="1:20" ht="15.75" hidden="1">
      <c r="A53" s="1265"/>
      <c r="B53" s="1265"/>
      <c r="C53" s="1266"/>
      <c r="D53" s="1267"/>
      <c r="E53" s="1268"/>
      <c r="F53" s="1267"/>
      <c r="G53" s="1268"/>
      <c r="H53" s="1257">
        <f t="shared" si="0"/>
        <v>0</v>
      </c>
      <c r="I53" s="1258"/>
      <c r="J53" s="475">
        <f t="shared" si="1"/>
        <v>0</v>
      </c>
      <c r="L53" s="1291"/>
      <c r="M53" s="1291"/>
      <c r="N53" s="1291"/>
      <c r="O53" s="1291"/>
      <c r="P53" s="468"/>
      <c r="Q53" s="468"/>
      <c r="R53" s="468"/>
      <c r="S53" s="468"/>
      <c r="T53" s="468"/>
    </row>
    <row r="54" spans="1:20" ht="15.75" hidden="1">
      <c r="A54" s="1265"/>
      <c r="B54" s="1265"/>
      <c r="C54" s="1266"/>
      <c r="D54" s="1267"/>
      <c r="E54" s="1268"/>
      <c r="F54" s="1267"/>
      <c r="G54" s="1268"/>
      <c r="H54" s="1257">
        <f t="shared" si="0"/>
        <v>0</v>
      </c>
      <c r="I54" s="1258"/>
      <c r="J54" s="475">
        <f t="shared" si="1"/>
        <v>0</v>
      </c>
      <c r="L54" s="1291"/>
      <c r="M54" s="1291"/>
      <c r="N54" s="1291"/>
      <c r="O54" s="1291"/>
      <c r="P54" s="468"/>
      <c r="Q54" s="468"/>
      <c r="R54" s="468"/>
      <c r="S54" s="468"/>
      <c r="T54" s="468"/>
    </row>
    <row r="55" spans="1:20" ht="15.75" hidden="1">
      <c r="A55" s="1265"/>
      <c r="B55" s="1265"/>
      <c r="C55" s="1266"/>
      <c r="D55" s="1267"/>
      <c r="E55" s="1268"/>
      <c r="F55" s="1267"/>
      <c r="G55" s="1268"/>
      <c r="H55" s="1257">
        <f t="shared" si="0"/>
        <v>0</v>
      </c>
      <c r="I55" s="1258"/>
      <c r="J55" s="475">
        <f t="shared" si="1"/>
        <v>0</v>
      </c>
      <c r="L55" s="1291"/>
      <c r="M55" s="1291"/>
      <c r="N55" s="1291"/>
      <c r="O55" s="1291"/>
      <c r="P55" s="468"/>
      <c r="Q55" s="468"/>
      <c r="R55" s="468"/>
      <c r="S55" s="468"/>
      <c r="T55" s="468"/>
    </row>
    <row r="56" spans="1:20" ht="15.75" hidden="1">
      <c r="A56" s="1265"/>
      <c r="B56" s="1265"/>
      <c r="C56" s="1266"/>
      <c r="D56" s="1267"/>
      <c r="E56" s="1268"/>
      <c r="F56" s="1267"/>
      <c r="G56" s="1268"/>
      <c r="H56" s="1257">
        <f t="shared" si="0"/>
        <v>0</v>
      </c>
      <c r="I56" s="1258"/>
      <c r="J56" s="475">
        <f t="shared" si="1"/>
        <v>0</v>
      </c>
      <c r="L56" s="1291"/>
      <c r="M56" s="1291"/>
      <c r="N56" s="1291"/>
      <c r="O56" s="1291"/>
      <c r="P56" s="468"/>
      <c r="Q56" s="468"/>
      <c r="R56" s="468"/>
      <c r="S56" s="468"/>
      <c r="T56" s="468"/>
    </row>
    <row r="57" spans="1:20" ht="15.75" hidden="1">
      <c r="A57" s="1265"/>
      <c r="B57" s="1265"/>
      <c r="C57" s="1266"/>
      <c r="D57" s="1267"/>
      <c r="E57" s="1268"/>
      <c r="F57" s="1267"/>
      <c r="G57" s="1268"/>
      <c r="H57" s="1257">
        <f t="shared" si="0"/>
        <v>0</v>
      </c>
      <c r="I57" s="1258"/>
      <c r="J57" s="475">
        <f t="shared" si="1"/>
        <v>0</v>
      </c>
      <c r="L57" s="1291"/>
      <c r="M57" s="1291"/>
      <c r="N57" s="1291"/>
      <c r="O57" s="1291"/>
      <c r="P57" s="468"/>
      <c r="Q57" s="468"/>
      <c r="R57" s="468"/>
      <c r="S57" s="468"/>
      <c r="T57" s="468"/>
    </row>
    <row r="58" spans="1:20" ht="15.75" hidden="1">
      <c r="A58" s="1265"/>
      <c r="B58" s="1265"/>
      <c r="C58" s="1266"/>
      <c r="D58" s="1267"/>
      <c r="E58" s="1268"/>
      <c r="F58" s="1267"/>
      <c r="G58" s="1268"/>
      <c r="H58" s="1257">
        <f t="shared" si="0"/>
        <v>0</v>
      </c>
      <c r="I58" s="1258"/>
      <c r="J58" s="475">
        <f t="shared" si="1"/>
        <v>0</v>
      </c>
      <c r="L58" s="1291"/>
      <c r="M58" s="1291"/>
      <c r="N58" s="1291"/>
      <c r="O58" s="1291"/>
      <c r="P58" s="468"/>
      <c r="Q58" s="468"/>
      <c r="R58" s="468"/>
      <c r="S58" s="468"/>
      <c r="T58" s="468"/>
    </row>
    <row r="59" spans="1:20" ht="15.75" hidden="1">
      <c r="A59" s="1265"/>
      <c r="B59" s="1265"/>
      <c r="C59" s="1266"/>
      <c r="D59" s="1267"/>
      <c r="E59" s="1268"/>
      <c r="F59" s="1267"/>
      <c r="G59" s="1268"/>
      <c r="H59" s="1257">
        <f t="shared" si="0"/>
        <v>0</v>
      </c>
      <c r="I59" s="1258"/>
      <c r="J59" s="475">
        <f t="shared" si="1"/>
        <v>0</v>
      </c>
      <c r="L59" s="1291"/>
      <c r="M59" s="1291"/>
      <c r="N59" s="1291"/>
      <c r="O59" s="1291"/>
      <c r="P59" s="468"/>
      <c r="Q59" s="468"/>
      <c r="R59" s="468"/>
      <c r="S59" s="468"/>
      <c r="T59" s="468"/>
    </row>
    <row r="60" spans="1:20" ht="15.75" hidden="1">
      <c r="A60" s="1265"/>
      <c r="B60" s="1265"/>
      <c r="C60" s="1266"/>
      <c r="D60" s="1267"/>
      <c r="E60" s="1268"/>
      <c r="F60" s="1267"/>
      <c r="G60" s="1268"/>
      <c r="H60" s="1257">
        <f t="shared" si="0"/>
        <v>0</v>
      </c>
      <c r="I60" s="1258"/>
      <c r="J60" s="475">
        <f t="shared" si="1"/>
        <v>0</v>
      </c>
      <c r="L60" s="1291"/>
      <c r="M60" s="1291"/>
      <c r="N60" s="1291"/>
      <c r="O60" s="1291"/>
      <c r="P60" s="468"/>
      <c r="Q60" s="468"/>
      <c r="R60" s="468"/>
      <c r="S60" s="468"/>
      <c r="T60" s="468"/>
    </row>
    <row r="61" spans="1:20" ht="15.75" hidden="1">
      <c r="A61" s="1265"/>
      <c r="B61" s="1265"/>
      <c r="C61" s="1266"/>
      <c r="D61" s="1267"/>
      <c r="E61" s="1268"/>
      <c r="F61" s="1267"/>
      <c r="G61" s="1268"/>
      <c r="H61" s="1257">
        <f t="shared" si="0"/>
        <v>0</v>
      </c>
      <c r="I61" s="1258"/>
      <c r="J61" s="475">
        <f t="shared" si="1"/>
        <v>0</v>
      </c>
      <c r="L61" s="1291"/>
      <c r="M61" s="1291"/>
      <c r="N61" s="1291"/>
      <c r="O61" s="1291"/>
      <c r="P61" s="468"/>
      <c r="Q61" s="468"/>
      <c r="R61" s="468"/>
      <c r="S61" s="468"/>
      <c r="T61" s="468"/>
    </row>
    <row r="62" spans="1:20" ht="15.75" hidden="1">
      <c r="A62" s="1265"/>
      <c r="B62" s="1265"/>
      <c r="C62" s="1266"/>
      <c r="D62" s="1267"/>
      <c r="E62" s="1268"/>
      <c r="F62" s="1267"/>
      <c r="G62" s="1268"/>
      <c r="H62" s="1257">
        <f t="shared" si="0"/>
        <v>0</v>
      </c>
      <c r="I62" s="1258"/>
      <c r="J62" s="475">
        <f t="shared" si="1"/>
        <v>0</v>
      </c>
      <c r="L62" s="1291"/>
      <c r="M62" s="1291"/>
      <c r="N62" s="1291"/>
      <c r="O62" s="1291"/>
      <c r="P62" s="468"/>
      <c r="Q62" s="468"/>
      <c r="R62" s="468"/>
      <c r="S62" s="468"/>
      <c r="T62" s="468"/>
    </row>
    <row r="63" spans="1:20" ht="15.75" hidden="1">
      <c r="A63" s="1265"/>
      <c r="B63" s="1265"/>
      <c r="C63" s="1266"/>
      <c r="D63" s="1267"/>
      <c r="E63" s="1268"/>
      <c r="F63" s="1267"/>
      <c r="G63" s="1268"/>
      <c r="H63" s="1257">
        <f t="shared" si="0"/>
        <v>0</v>
      </c>
      <c r="I63" s="1258"/>
      <c r="J63" s="475">
        <f t="shared" si="1"/>
        <v>0</v>
      </c>
      <c r="L63" s="1291"/>
      <c r="M63" s="1291"/>
      <c r="N63" s="1291"/>
      <c r="O63" s="1291"/>
      <c r="P63" s="468"/>
      <c r="Q63" s="468"/>
      <c r="R63" s="468"/>
      <c r="S63" s="468"/>
      <c r="T63" s="468"/>
    </row>
    <row r="64" spans="1:20" ht="15.75" hidden="1">
      <c r="A64" s="1265"/>
      <c r="B64" s="1265"/>
      <c r="C64" s="1266"/>
      <c r="D64" s="1267"/>
      <c r="E64" s="1268"/>
      <c r="F64" s="1267"/>
      <c r="G64" s="1268"/>
      <c r="H64" s="1257">
        <f t="shared" si="0"/>
        <v>0</v>
      </c>
      <c r="I64" s="1258"/>
      <c r="J64" s="475">
        <f t="shared" si="1"/>
        <v>0</v>
      </c>
      <c r="L64" s="1291"/>
      <c r="M64" s="1291"/>
      <c r="N64" s="1291"/>
      <c r="O64" s="1291"/>
      <c r="P64" s="468"/>
      <c r="Q64" s="468"/>
      <c r="R64" s="468"/>
      <c r="S64" s="468"/>
      <c r="T64" s="468"/>
    </row>
    <row r="65" spans="1:20" ht="15.75" hidden="1">
      <c r="A65" s="1265"/>
      <c r="B65" s="1265"/>
      <c r="C65" s="1266"/>
      <c r="D65" s="1267"/>
      <c r="E65" s="1268"/>
      <c r="F65" s="1267"/>
      <c r="G65" s="1268"/>
      <c r="H65" s="1257">
        <f t="shared" si="0"/>
        <v>0</v>
      </c>
      <c r="I65" s="1258"/>
      <c r="J65" s="475">
        <f t="shared" si="1"/>
        <v>0</v>
      </c>
      <c r="L65" s="1291"/>
      <c r="M65" s="1291"/>
      <c r="N65" s="1291"/>
      <c r="O65" s="1291"/>
      <c r="P65" s="468"/>
      <c r="Q65" s="468"/>
      <c r="R65" s="468"/>
      <c r="S65" s="468"/>
      <c r="T65" s="468"/>
    </row>
    <row r="66" spans="1:20" ht="15.75" hidden="1">
      <c r="A66" s="1265"/>
      <c r="B66" s="1265"/>
      <c r="C66" s="1266"/>
      <c r="D66" s="1267"/>
      <c r="E66" s="1268"/>
      <c r="F66" s="1267"/>
      <c r="G66" s="1268"/>
      <c r="H66" s="1257">
        <f t="shared" si="0"/>
        <v>0</v>
      </c>
      <c r="I66" s="1258"/>
      <c r="J66" s="475">
        <f t="shared" si="1"/>
        <v>0</v>
      </c>
      <c r="L66" s="1291"/>
      <c r="M66" s="1291"/>
      <c r="N66" s="1291"/>
      <c r="O66" s="1291"/>
      <c r="P66" s="468"/>
      <c r="Q66" s="468"/>
      <c r="R66" s="468"/>
      <c r="S66" s="468"/>
      <c r="T66" s="468"/>
    </row>
    <row r="67" spans="1:20" ht="15.75" hidden="1">
      <c r="A67" s="1265"/>
      <c r="B67" s="1265"/>
      <c r="C67" s="1266"/>
      <c r="D67" s="1267"/>
      <c r="E67" s="1268"/>
      <c r="F67" s="1267"/>
      <c r="G67" s="1268"/>
      <c r="H67" s="1257">
        <f t="shared" si="0"/>
        <v>0</v>
      </c>
      <c r="I67" s="1258"/>
      <c r="J67" s="475">
        <f t="shared" si="1"/>
        <v>0</v>
      </c>
      <c r="L67" s="1291"/>
      <c r="M67" s="1291"/>
      <c r="N67" s="1291"/>
      <c r="O67" s="1291"/>
      <c r="P67" s="468"/>
      <c r="Q67" s="468"/>
      <c r="R67" s="468"/>
      <c r="S67" s="468"/>
      <c r="T67" s="468"/>
    </row>
    <row r="68" spans="1:20" ht="15.75" hidden="1">
      <c r="A68" s="1265"/>
      <c r="B68" s="1265"/>
      <c r="C68" s="1266"/>
      <c r="D68" s="1267"/>
      <c r="E68" s="1268"/>
      <c r="F68" s="1267"/>
      <c r="G68" s="1268"/>
      <c r="H68" s="1257">
        <f t="shared" si="0"/>
        <v>0</v>
      </c>
      <c r="I68" s="1258"/>
      <c r="J68" s="475">
        <f t="shared" si="1"/>
        <v>0</v>
      </c>
      <c r="L68" s="1291"/>
      <c r="M68" s="1291"/>
      <c r="N68" s="1291"/>
      <c r="O68" s="1291"/>
      <c r="P68" s="468"/>
      <c r="Q68" s="468"/>
      <c r="R68" s="468"/>
      <c r="S68" s="468"/>
      <c r="T68" s="468"/>
    </row>
    <row r="69" spans="1:20" ht="15.75" hidden="1">
      <c r="A69" s="1265"/>
      <c r="B69" s="1265"/>
      <c r="C69" s="1266"/>
      <c r="D69" s="1267"/>
      <c r="E69" s="1268"/>
      <c r="F69" s="1267"/>
      <c r="G69" s="1268"/>
      <c r="H69" s="1257">
        <f t="shared" si="0"/>
        <v>0</v>
      </c>
      <c r="I69" s="1258"/>
      <c r="J69" s="475">
        <f t="shared" si="1"/>
        <v>0</v>
      </c>
      <c r="L69" s="1291"/>
      <c r="M69" s="1291"/>
      <c r="N69" s="1291"/>
      <c r="O69" s="1291"/>
      <c r="P69" s="468"/>
      <c r="Q69" s="468"/>
      <c r="R69" s="468"/>
      <c r="S69" s="468"/>
      <c r="T69" s="468"/>
    </row>
    <row r="70" spans="1:20" ht="15.75" hidden="1">
      <c r="A70" s="1265"/>
      <c r="B70" s="1265"/>
      <c r="C70" s="1266"/>
      <c r="D70" s="1267"/>
      <c r="E70" s="1268"/>
      <c r="F70" s="1267"/>
      <c r="G70" s="1268"/>
      <c r="H70" s="1257">
        <f t="shared" si="0"/>
        <v>0</v>
      </c>
      <c r="I70" s="1258"/>
      <c r="J70" s="475">
        <f t="shared" si="1"/>
        <v>0</v>
      </c>
      <c r="L70" s="1291"/>
      <c r="M70" s="1291"/>
      <c r="N70" s="1291"/>
      <c r="O70" s="1291"/>
      <c r="P70" s="468"/>
      <c r="Q70" s="468"/>
      <c r="R70" s="468"/>
      <c r="S70" s="468"/>
      <c r="T70" s="468"/>
    </row>
    <row r="71" spans="1:20" ht="15.75" hidden="1">
      <c r="A71" s="1265"/>
      <c r="B71" s="1265"/>
      <c r="C71" s="1266"/>
      <c r="D71" s="1267"/>
      <c r="E71" s="1268"/>
      <c r="F71" s="1267"/>
      <c r="G71" s="1268"/>
      <c r="H71" s="1257">
        <f t="shared" si="0"/>
        <v>0</v>
      </c>
      <c r="I71" s="1258"/>
      <c r="J71" s="475">
        <f t="shared" si="1"/>
        <v>0</v>
      </c>
      <c r="L71" s="1291"/>
      <c r="M71" s="1291"/>
      <c r="N71" s="1291"/>
      <c r="O71" s="1291"/>
      <c r="P71" s="468"/>
      <c r="Q71" s="468"/>
      <c r="R71" s="468"/>
      <c r="S71" s="468"/>
      <c r="T71" s="468"/>
    </row>
    <row r="72" spans="1:20" ht="15.75" hidden="1">
      <c r="A72" s="1265"/>
      <c r="B72" s="1265"/>
      <c r="C72" s="1266"/>
      <c r="D72" s="1267"/>
      <c r="E72" s="1268"/>
      <c r="F72" s="1267"/>
      <c r="G72" s="1268"/>
      <c r="H72" s="1257">
        <f t="shared" si="0"/>
        <v>0</v>
      </c>
      <c r="I72" s="1258"/>
      <c r="J72" s="475">
        <f t="shared" si="1"/>
        <v>0</v>
      </c>
      <c r="L72" s="1291"/>
      <c r="M72" s="1291"/>
      <c r="N72" s="1291"/>
      <c r="O72" s="1291"/>
      <c r="P72" s="468"/>
      <c r="Q72" s="468"/>
      <c r="R72" s="468"/>
      <c r="S72" s="468"/>
      <c r="T72" s="468"/>
    </row>
    <row r="73" spans="1:20" ht="15.75" hidden="1">
      <c r="A73" s="1265"/>
      <c r="B73" s="1265"/>
      <c r="C73" s="1266"/>
      <c r="D73" s="1267"/>
      <c r="E73" s="1268"/>
      <c r="F73" s="1267"/>
      <c r="G73" s="1268"/>
      <c r="H73" s="1257">
        <f t="shared" si="0"/>
        <v>0</v>
      </c>
      <c r="I73" s="1258"/>
      <c r="J73" s="475">
        <f t="shared" si="1"/>
        <v>0</v>
      </c>
      <c r="L73" s="1291"/>
      <c r="M73" s="1291"/>
      <c r="N73" s="1291"/>
      <c r="O73" s="1291"/>
      <c r="P73" s="468"/>
      <c r="Q73" s="468"/>
      <c r="R73" s="468"/>
      <c r="S73" s="468"/>
      <c r="T73" s="468"/>
    </row>
    <row r="74" spans="1:20" ht="15.75" hidden="1">
      <c r="A74" s="1265"/>
      <c r="B74" s="1265"/>
      <c r="C74" s="1266"/>
      <c r="D74" s="1267"/>
      <c r="E74" s="1268"/>
      <c r="F74" s="1267"/>
      <c r="G74" s="1268"/>
      <c r="H74" s="1257">
        <f t="shared" si="0"/>
        <v>0</v>
      </c>
      <c r="I74" s="1258"/>
      <c r="J74" s="475">
        <f t="shared" si="1"/>
        <v>0</v>
      </c>
      <c r="L74" s="1291"/>
      <c r="M74" s="1291"/>
      <c r="N74" s="1291"/>
      <c r="O74" s="1291"/>
      <c r="P74" s="468"/>
      <c r="Q74" s="468"/>
      <c r="R74" s="468"/>
      <c r="S74" s="468"/>
      <c r="T74" s="468"/>
    </row>
    <row r="75" spans="1:20" ht="15.75" hidden="1">
      <c r="A75" s="1265"/>
      <c r="B75" s="1265"/>
      <c r="C75" s="1266"/>
      <c r="D75" s="1267"/>
      <c r="E75" s="1268"/>
      <c r="F75" s="1267"/>
      <c r="G75" s="1268"/>
      <c r="H75" s="1257">
        <f t="shared" si="0"/>
        <v>0</v>
      </c>
      <c r="I75" s="1258"/>
      <c r="J75" s="475">
        <f t="shared" si="1"/>
        <v>0</v>
      </c>
      <c r="L75" s="1291"/>
      <c r="M75" s="1291"/>
      <c r="N75" s="1291"/>
      <c r="O75" s="1291"/>
      <c r="P75" s="468"/>
      <c r="Q75" s="468"/>
      <c r="R75" s="468"/>
      <c r="S75" s="468"/>
      <c r="T75" s="468"/>
    </row>
    <row r="76" spans="1:20" ht="15.75" hidden="1">
      <c r="A76" s="1265"/>
      <c r="B76" s="1265"/>
      <c r="C76" s="1266"/>
      <c r="D76" s="1267"/>
      <c r="E76" s="1268"/>
      <c r="F76" s="1267"/>
      <c r="G76" s="1268"/>
      <c r="H76" s="1257">
        <f t="shared" si="0"/>
        <v>0</v>
      </c>
      <c r="I76" s="1258"/>
      <c r="J76" s="475">
        <f t="shared" si="1"/>
        <v>0</v>
      </c>
      <c r="L76" s="1291"/>
      <c r="M76" s="1291"/>
      <c r="N76" s="1291"/>
      <c r="O76" s="1291"/>
      <c r="P76" s="468"/>
      <c r="Q76" s="468"/>
      <c r="R76" s="468"/>
      <c r="S76" s="468"/>
      <c r="T76" s="468"/>
    </row>
    <row r="77" spans="1:20" ht="15.75" hidden="1">
      <c r="A77" s="1265"/>
      <c r="B77" s="1265"/>
      <c r="C77" s="1266"/>
      <c r="D77" s="1267"/>
      <c r="E77" s="1268"/>
      <c r="F77" s="1267"/>
      <c r="G77" s="1268"/>
      <c r="H77" s="1257">
        <f t="shared" si="0"/>
        <v>0</v>
      </c>
      <c r="I77" s="1258"/>
      <c r="J77" s="475">
        <f t="shared" si="1"/>
        <v>0</v>
      </c>
      <c r="L77" s="1291"/>
      <c r="M77" s="1291"/>
      <c r="N77" s="1291"/>
      <c r="O77" s="1291"/>
      <c r="P77" s="468"/>
      <c r="Q77" s="468"/>
      <c r="R77" s="468"/>
      <c r="S77" s="468"/>
      <c r="T77" s="468"/>
    </row>
    <row r="78" spans="1:20" ht="15.75" hidden="1">
      <c r="A78" s="1265"/>
      <c r="B78" s="1265"/>
      <c r="C78" s="1266"/>
      <c r="D78" s="1267"/>
      <c r="E78" s="1268"/>
      <c r="F78" s="1267"/>
      <c r="G78" s="1268"/>
      <c r="H78" s="1257">
        <f t="shared" si="0"/>
        <v>0</v>
      </c>
      <c r="I78" s="1258"/>
      <c r="J78" s="475">
        <f t="shared" si="1"/>
        <v>0</v>
      </c>
      <c r="L78" s="1291"/>
      <c r="M78" s="1291"/>
      <c r="N78" s="1291"/>
      <c r="O78" s="1291"/>
      <c r="P78" s="468"/>
      <c r="Q78" s="468"/>
      <c r="R78" s="468"/>
      <c r="S78" s="468"/>
      <c r="T78" s="468"/>
    </row>
    <row r="79" spans="1:20" ht="15.75" hidden="1">
      <c r="A79" s="1265"/>
      <c r="B79" s="1265"/>
      <c r="C79" s="1266"/>
      <c r="D79" s="1267"/>
      <c r="E79" s="1268"/>
      <c r="F79" s="1267"/>
      <c r="G79" s="1268"/>
      <c r="H79" s="1257">
        <f aca="true" t="shared" si="2" ref="H79:H89">D79-F79</f>
        <v>0</v>
      </c>
      <c r="I79" s="1258"/>
      <c r="J79" s="475">
        <f aca="true" t="shared" si="3" ref="J79:J89">J78+H79</f>
        <v>0</v>
      </c>
      <c r="L79" s="1291"/>
      <c r="M79" s="1291"/>
      <c r="N79" s="1291"/>
      <c r="O79" s="1291"/>
      <c r="P79" s="468"/>
      <c r="Q79" s="468"/>
      <c r="R79" s="468"/>
      <c r="S79" s="468"/>
      <c r="T79" s="468"/>
    </row>
    <row r="80" spans="1:20" ht="15.75" hidden="1">
      <c r="A80" s="1265"/>
      <c r="B80" s="1265"/>
      <c r="C80" s="1266"/>
      <c r="D80" s="1267"/>
      <c r="E80" s="1268"/>
      <c r="F80" s="1267"/>
      <c r="G80" s="1268"/>
      <c r="H80" s="1257">
        <f t="shared" si="2"/>
        <v>0</v>
      </c>
      <c r="I80" s="1258"/>
      <c r="J80" s="475">
        <f t="shared" si="3"/>
        <v>0</v>
      </c>
      <c r="L80" s="1291"/>
      <c r="M80" s="1291"/>
      <c r="N80" s="1291"/>
      <c r="O80" s="1291"/>
      <c r="P80" s="468"/>
      <c r="Q80" s="468"/>
      <c r="R80" s="468"/>
      <c r="S80" s="468"/>
      <c r="T80" s="468"/>
    </row>
    <row r="81" spans="1:20" ht="15.75" hidden="1">
      <c r="A81" s="1265"/>
      <c r="B81" s="1265"/>
      <c r="C81" s="1266"/>
      <c r="D81" s="1267"/>
      <c r="E81" s="1268"/>
      <c r="F81" s="1267"/>
      <c r="G81" s="1268"/>
      <c r="H81" s="1257">
        <f t="shared" si="2"/>
        <v>0</v>
      </c>
      <c r="I81" s="1258"/>
      <c r="J81" s="475">
        <f t="shared" si="3"/>
        <v>0</v>
      </c>
      <c r="L81" s="1291"/>
      <c r="M81" s="1291"/>
      <c r="N81" s="1291"/>
      <c r="O81" s="1291"/>
      <c r="P81" s="468"/>
      <c r="Q81" s="468"/>
      <c r="R81" s="468"/>
      <c r="S81" s="468"/>
      <c r="T81" s="468"/>
    </row>
    <row r="82" spans="1:20" ht="15.75" hidden="1">
      <c r="A82" s="1265"/>
      <c r="B82" s="1265"/>
      <c r="C82" s="1266"/>
      <c r="D82" s="1267"/>
      <c r="E82" s="1268"/>
      <c r="F82" s="1267"/>
      <c r="G82" s="1268"/>
      <c r="H82" s="1257">
        <f t="shared" si="2"/>
        <v>0</v>
      </c>
      <c r="I82" s="1258"/>
      <c r="J82" s="475">
        <f t="shared" si="3"/>
        <v>0</v>
      </c>
      <c r="L82" s="1291"/>
      <c r="M82" s="1291"/>
      <c r="N82" s="1291"/>
      <c r="O82" s="1291"/>
      <c r="P82" s="468"/>
      <c r="Q82" s="468"/>
      <c r="R82" s="468"/>
      <c r="S82" s="468"/>
      <c r="T82" s="468"/>
    </row>
    <row r="83" spans="1:20" ht="15.75" hidden="1">
      <c r="A83" s="1265"/>
      <c r="B83" s="1265"/>
      <c r="C83" s="1266"/>
      <c r="D83" s="1267"/>
      <c r="E83" s="1268"/>
      <c r="F83" s="1267"/>
      <c r="G83" s="1268"/>
      <c r="H83" s="1257">
        <f t="shared" si="2"/>
        <v>0</v>
      </c>
      <c r="I83" s="1258"/>
      <c r="J83" s="475">
        <f t="shared" si="3"/>
        <v>0</v>
      </c>
      <c r="L83" s="1291"/>
      <c r="M83" s="1291"/>
      <c r="N83" s="1291"/>
      <c r="O83" s="1291"/>
      <c r="P83" s="468"/>
      <c r="Q83" s="468"/>
      <c r="R83" s="468"/>
      <c r="S83" s="468"/>
      <c r="T83" s="468"/>
    </row>
    <row r="84" spans="1:20" ht="15.75" hidden="1">
      <c r="A84" s="1265"/>
      <c r="B84" s="1265"/>
      <c r="C84" s="1266"/>
      <c r="D84" s="1267"/>
      <c r="E84" s="1268"/>
      <c r="F84" s="1267"/>
      <c r="G84" s="1268"/>
      <c r="H84" s="1257">
        <f t="shared" si="2"/>
        <v>0</v>
      </c>
      <c r="I84" s="1258"/>
      <c r="J84" s="475">
        <f t="shared" si="3"/>
        <v>0</v>
      </c>
      <c r="L84" s="1291"/>
      <c r="M84" s="1291"/>
      <c r="N84" s="1291"/>
      <c r="O84" s="1291"/>
      <c r="P84" s="468"/>
      <c r="Q84" s="468"/>
      <c r="R84" s="468"/>
      <c r="S84" s="468"/>
      <c r="T84" s="468"/>
    </row>
    <row r="85" spans="1:20" ht="15.75" hidden="1">
      <c r="A85" s="1265"/>
      <c r="B85" s="1265"/>
      <c r="C85" s="1266"/>
      <c r="D85" s="1267"/>
      <c r="E85" s="1268"/>
      <c r="F85" s="1267"/>
      <c r="G85" s="1268"/>
      <c r="H85" s="1257">
        <f t="shared" si="2"/>
        <v>0</v>
      </c>
      <c r="I85" s="1258"/>
      <c r="J85" s="475">
        <f t="shared" si="3"/>
        <v>0</v>
      </c>
      <c r="L85" s="1291"/>
      <c r="M85" s="1291"/>
      <c r="N85" s="1291"/>
      <c r="O85" s="1291"/>
      <c r="P85" s="468"/>
      <c r="Q85" s="468"/>
      <c r="R85" s="468"/>
      <c r="S85" s="468"/>
      <c r="T85" s="468"/>
    </row>
    <row r="86" spans="1:20" ht="15.75" hidden="1">
      <c r="A86" s="1265"/>
      <c r="B86" s="1265"/>
      <c r="C86" s="1266"/>
      <c r="D86" s="1267"/>
      <c r="E86" s="1268"/>
      <c r="F86" s="1267"/>
      <c r="G86" s="1268"/>
      <c r="H86" s="1257">
        <f t="shared" si="2"/>
        <v>0</v>
      </c>
      <c r="I86" s="1258"/>
      <c r="J86" s="475">
        <f t="shared" si="3"/>
        <v>0</v>
      </c>
      <c r="L86" s="1291"/>
      <c r="M86" s="1291"/>
      <c r="N86" s="1291"/>
      <c r="O86" s="1291"/>
      <c r="P86" s="468"/>
      <c r="Q86" s="468"/>
      <c r="R86" s="468"/>
      <c r="S86" s="468"/>
      <c r="T86" s="468"/>
    </row>
    <row r="87" spans="1:20" ht="15.75" hidden="1">
      <c r="A87" s="1265"/>
      <c r="B87" s="1265"/>
      <c r="C87" s="1266"/>
      <c r="D87" s="1267"/>
      <c r="E87" s="1268"/>
      <c r="F87" s="1267"/>
      <c r="G87" s="1268"/>
      <c r="H87" s="1257">
        <f t="shared" si="2"/>
        <v>0</v>
      </c>
      <c r="I87" s="1258"/>
      <c r="J87" s="475">
        <f t="shared" si="3"/>
        <v>0</v>
      </c>
      <c r="L87" s="1291"/>
      <c r="M87" s="1291"/>
      <c r="N87" s="1291"/>
      <c r="O87" s="1291"/>
      <c r="P87" s="468"/>
      <c r="Q87" s="468"/>
      <c r="R87" s="468"/>
      <c r="S87" s="468"/>
      <c r="T87" s="468"/>
    </row>
    <row r="88" spans="1:20" ht="15.75">
      <c r="A88" s="1265"/>
      <c r="B88" s="1265"/>
      <c r="C88" s="1266"/>
      <c r="D88" s="1267"/>
      <c r="E88" s="1268"/>
      <c r="F88" s="1267"/>
      <c r="G88" s="1268"/>
      <c r="H88" s="1257">
        <f t="shared" si="2"/>
        <v>0</v>
      </c>
      <c r="I88" s="1258"/>
      <c r="J88" s="475">
        <f t="shared" si="3"/>
        <v>0</v>
      </c>
      <c r="L88" s="1291"/>
      <c r="M88" s="1291"/>
      <c r="N88" s="1291"/>
      <c r="O88" s="1291"/>
      <c r="P88" s="468"/>
      <c r="Q88" s="468"/>
      <c r="R88" s="468"/>
      <c r="S88" s="468"/>
      <c r="T88" s="468"/>
    </row>
    <row r="89" spans="1:15" ht="11.25" customHeight="1">
      <c r="A89" s="1259"/>
      <c r="B89" s="1259"/>
      <c r="C89" s="1260"/>
      <c r="D89" s="1261"/>
      <c r="E89" s="1262"/>
      <c r="F89" s="1261"/>
      <c r="G89" s="1262"/>
      <c r="H89" s="1263">
        <f t="shared" si="2"/>
        <v>0</v>
      </c>
      <c r="I89" s="1264"/>
      <c r="J89" s="475">
        <f t="shared" si="3"/>
        <v>0</v>
      </c>
      <c r="L89" s="1291"/>
      <c r="M89" s="1291"/>
      <c r="N89" s="1291"/>
      <c r="O89" s="1291"/>
    </row>
    <row r="90" spans="1:15" ht="27" customHeight="1">
      <c r="A90" s="1294" t="s">
        <v>518</v>
      </c>
      <c r="B90" s="1294"/>
      <c r="C90" s="1294"/>
      <c r="D90" s="1294"/>
      <c r="E90" s="1294"/>
      <c r="F90" s="1294"/>
      <c r="G90" s="1294"/>
      <c r="H90" s="1294"/>
      <c r="I90" s="1294"/>
      <c r="J90" s="1294"/>
      <c r="L90" s="468"/>
      <c r="M90" s="468"/>
      <c r="N90" s="468"/>
      <c r="O90" s="468"/>
    </row>
    <row r="91" spans="1:15" ht="22.5" customHeight="1">
      <c r="A91" s="1292" t="s">
        <v>164</v>
      </c>
      <c r="B91" s="1293"/>
      <c r="C91" s="1293"/>
      <c r="D91" s="1293"/>
      <c r="E91" s="1293"/>
      <c r="F91" s="1293"/>
      <c r="G91" s="1293"/>
      <c r="H91" s="1293"/>
      <c r="I91" s="1293"/>
      <c r="J91" s="1293"/>
      <c r="L91" s="468"/>
      <c r="M91" s="468"/>
      <c r="N91" s="468"/>
      <c r="O91" s="468"/>
    </row>
    <row r="92" spans="1:15" ht="24.75" customHeight="1">
      <c r="A92" s="1295" t="s">
        <v>165</v>
      </c>
      <c r="B92" s="1296"/>
      <c r="C92" s="1296"/>
      <c r="D92" s="1296"/>
      <c r="E92" s="1296"/>
      <c r="F92" s="1296"/>
      <c r="G92" s="1296"/>
      <c r="H92" s="1296"/>
      <c r="I92" s="1296"/>
      <c r="J92" s="1296"/>
      <c r="L92" s="468"/>
      <c r="M92" s="468"/>
      <c r="N92" s="468"/>
      <c r="O92" s="468"/>
    </row>
    <row r="93" spans="12:15" ht="11.25" customHeight="1">
      <c r="L93" s="468"/>
      <c r="M93" s="468"/>
      <c r="N93" s="468"/>
      <c r="O93" s="468"/>
    </row>
  </sheetData>
  <sheetProtection password="C236" sheet="1" objects="1" scenarios="1" formatColumns="0" formatRows="0" insertRows="0"/>
  <mergeCells count="329">
    <mergeCell ref="D85:E85"/>
    <mergeCell ref="F85:G85"/>
    <mergeCell ref="D82:E82"/>
    <mergeCell ref="F82:G82"/>
    <mergeCell ref="D83:E83"/>
    <mergeCell ref="F83:G83"/>
    <mergeCell ref="D84:E84"/>
    <mergeCell ref="F84:G84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D61:E61"/>
    <mergeCell ref="F61:G61"/>
    <mergeCell ref="D62:E62"/>
    <mergeCell ref="F62:G62"/>
    <mergeCell ref="D63:E63"/>
    <mergeCell ref="F63:G63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4:E34"/>
    <mergeCell ref="F34:G34"/>
    <mergeCell ref="D35:E35"/>
    <mergeCell ref="F35:G35"/>
    <mergeCell ref="D36:E36"/>
    <mergeCell ref="F36:G36"/>
    <mergeCell ref="D31:E31"/>
    <mergeCell ref="F31:G31"/>
    <mergeCell ref="D32:E32"/>
    <mergeCell ref="F32:G32"/>
    <mergeCell ref="D33:E33"/>
    <mergeCell ref="F33:G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F18:G18"/>
    <mergeCell ref="D19:E19"/>
    <mergeCell ref="F19:G19"/>
    <mergeCell ref="D20:E20"/>
    <mergeCell ref="F20:G20"/>
    <mergeCell ref="D21:E21"/>
    <mergeCell ref="F21:G21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landscape" paperSize="9" scale="11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32" sqref="A1:H32"/>
    </sheetView>
  </sheetViews>
  <sheetFormatPr defaultColWidth="22.28125" defaultRowHeight="11.25" customHeight="1"/>
  <cols>
    <col min="1" max="1" width="48.00390625" style="477" customWidth="1"/>
    <col min="2" max="2" width="22.8515625" style="477" bestFit="1" customWidth="1"/>
    <col min="3" max="3" width="14.8515625" style="477" customWidth="1"/>
    <col min="4" max="4" width="13.421875" style="477" customWidth="1"/>
    <col min="5" max="5" width="14.421875" style="477" customWidth="1"/>
    <col min="6" max="6" width="23.7109375" style="477" customWidth="1"/>
    <col min="7" max="7" width="17.8515625" style="477" customWidth="1"/>
    <col min="8" max="8" width="19.140625" style="478" bestFit="1" customWidth="1"/>
    <col min="9" max="16384" width="22.28125" style="477" customWidth="1"/>
  </cols>
  <sheetData>
    <row r="1" ht="15.75">
      <c r="A1" s="476" t="s">
        <v>468</v>
      </c>
    </row>
    <row r="3" spans="1:7" ht="11.25" customHeight="1">
      <c r="A3" s="1312" t="str">
        <f>'Informações Iniciais'!A1</f>
        <v>PODER EXECUTIVO</v>
      </c>
      <c r="B3" s="1312"/>
      <c r="C3" s="1312"/>
      <c r="D3" s="1312"/>
      <c r="E3" s="1312"/>
      <c r="F3" s="1312"/>
      <c r="G3" s="479"/>
    </row>
    <row r="4" spans="1:7" ht="11.25" customHeight="1">
      <c r="A4" s="1312" t="s">
        <v>109</v>
      </c>
      <c r="B4" s="1312"/>
      <c r="C4" s="1312"/>
      <c r="D4" s="1312"/>
      <c r="E4" s="1312"/>
      <c r="F4" s="1312"/>
      <c r="G4" s="479"/>
    </row>
    <row r="5" spans="1:7" ht="11.25" customHeight="1">
      <c r="A5" s="1313" t="s">
        <v>280</v>
      </c>
      <c r="B5" s="1313"/>
      <c r="C5" s="1313"/>
      <c r="D5" s="1313"/>
      <c r="E5" s="1313"/>
      <c r="F5" s="1313"/>
      <c r="G5" s="480"/>
    </row>
    <row r="6" spans="1:7" ht="11.25" customHeight="1">
      <c r="A6" s="1312" t="s">
        <v>111</v>
      </c>
      <c r="B6" s="1312"/>
      <c r="C6" s="1312"/>
      <c r="D6" s="1312"/>
      <c r="E6" s="1312"/>
      <c r="F6" s="1312"/>
      <c r="G6" s="479"/>
    </row>
    <row r="7" spans="1:7" ht="11.25" customHeight="1">
      <c r="A7" s="1312" t="str">
        <f>'Informações Iniciais'!A5</f>
        <v>5º Bimestre de 2016</v>
      </c>
      <c r="B7" s="1312"/>
      <c r="C7" s="1312"/>
      <c r="D7" s="1312"/>
      <c r="E7" s="1312"/>
      <c r="F7" s="1312"/>
      <c r="G7" s="479"/>
    </row>
    <row r="9" spans="1:8" ht="11.25" customHeight="1">
      <c r="A9" s="481" t="s">
        <v>465</v>
      </c>
      <c r="F9" s="482"/>
      <c r="G9" s="482"/>
      <c r="H9" s="482" t="s">
        <v>519</v>
      </c>
    </row>
    <row r="10" spans="1:8" ht="11.25" customHeight="1">
      <c r="A10" s="1310" t="s">
        <v>114</v>
      </c>
      <c r="B10" s="483" t="s">
        <v>281</v>
      </c>
      <c r="C10" s="1314" t="s">
        <v>113</v>
      </c>
      <c r="D10" s="1315"/>
      <c r="E10" s="1315"/>
      <c r="F10" s="1315"/>
      <c r="G10" s="1316"/>
      <c r="H10" s="483" t="s">
        <v>282</v>
      </c>
    </row>
    <row r="11" spans="1:8" ht="11.25" customHeight="1">
      <c r="A11" s="1311"/>
      <c r="B11" s="484" t="s">
        <v>120</v>
      </c>
      <c r="C11" s="1317" t="s">
        <v>121</v>
      </c>
      <c r="D11" s="1318"/>
      <c r="E11" s="1318"/>
      <c r="F11" s="1318"/>
      <c r="G11" s="1319"/>
      <c r="H11" s="484" t="s">
        <v>347</v>
      </c>
    </row>
    <row r="12" spans="1:8" ht="11.25" customHeight="1">
      <c r="A12" s="485" t="s">
        <v>631</v>
      </c>
      <c r="B12" s="475">
        <f>SUM(B13:B14)</f>
        <v>0</v>
      </c>
      <c r="C12" s="1275">
        <f>SUM(C13:G14)</f>
        <v>0</v>
      </c>
      <c r="D12" s="1320"/>
      <c r="E12" s="1320"/>
      <c r="F12" s="1320"/>
      <c r="G12" s="1276"/>
      <c r="H12" s="475">
        <f>B12-C12</f>
        <v>0</v>
      </c>
    </row>
    <row r="13" spans="1:8" ht="11.25" customHeight="1">
      <c r="A13" s="486" t="s">
        <v>952</v>
      </c>
      <c r="B13" s="526"/>
      <c r="C13" s="1267"/>
      <c r="D13" s="1297"/>
      <c r="E13" s="1297"/>
      <c r="F13" s="1297"/>
      <c r="G13" s="1268"/>
      <c r="H13" s="475">
        <f>B13-C13</f>
        <v>0</v>
      </c>
    </row>
    <row r="14" spans="1:8" ht="11.25" customHeight="1">
      <c r="A14" s="486" t="s">
        <v>953</v>
      </c>
      <c r="B14" s="526"/>
      <c r="C14" s="1261"/>
      <c r="D14" s="1298"/>
      <c r="E14" s="1298"/>
      <c r="F14" s="1298"/>
      <c r="G14" s="1262"/>
      <c r="H14" s="475">
        <f>B14-C14</f>
        <v>0</v>
      </c>
    </row>
    <row r="15" spans="1:8" s="478" customFormat="1" ht="11.25" customHeight="1">
      <c r="A15" s="487"/>
      <c r="B15" s="488"/>
      <c r="C15" s="488"/>
      <c r="D15" s="488"/>
      <c r="E15" s="488"/>
      <c r="F15" s="488"/>
      <c r="G15" s="488"/>
      <c r="H15" s="488"/>
    </row>
    <row r="16" spans="1:8" ht="11.25" customHeight="1">
      <c r="A16" s="489"/>
      <c r="B16" s="490" t="s">
        <v>283</v>
      </c>
      <c r="C16" s="491" t="s">
        <v>640</v>
      </c>
      <c r="D16" s="492" t="s">
        <v>640</v>
      </c>
      <c r="E16" s="493" t="s">
        <v>869</v>
      </c>
      <c r="F16" s="494" t="s">
        <v>640</v>
      </c>
      <c r="G16" s="495" t="s">
        <v>863</v>
      </c>
      <c r="H16" s="483" t="s">
        <v>685</v>
      </c>
    </row>
    <row r="17" spans="1:8" ht="11.25" customHeight="1">
      <c r="A17" s="496"/>
      <c r="B17" s="497"/>
      <c r="C17" s="498" t="s">
        <v>641</v>
      </c>
      <c r="D17" s="499" t="s">
        <v>275</v>
      </c>
      <c r="E17" s="500" t="s">
        <v>868</v>
      </c>
      <c r="F17" s="501" t="s">
        <v>5</v>
      </c>
      <c r="G17" s="502" t="s">
        <v>864</v>
      </c>
      <c r="H17" s="503"/>
    </row>
    <row r="18" spans="1:8" ht="11.25" customHeight="1">
      <c r="A18" s="504" t="s">
        <v>178</v>
      </c>
      <c r="B18" s="497"/>
      <c r="C18" s="505"/>
      <c r="D18" s="499"/>
      <c r="E18" s="506"/>
      <c r="F18" s="507" t="s">
        <v>6</v>
      </c>
      <c r="G18" s="497"/>
      <c r="H18" s="499"/>
    </row>
    <row r="19" spans="1:8" ht="11.25" customHeight="1">
      <c r="A19" s="508"/>
      <c r="B19" s="509" t="s">
        <v>180</v>
      </c>
      <c r="C19" s="510"/>
      <c r="D19" s="511"/>
      <c r="E19" s="512" t="s">
        <v>181</v>
      </c>
      <c r="F19" s="511"/>
      <c r="G19" s="512" t="s">
        <v>274</v>
      </c>
      <c r="H19" s="484" t="s">
        <v>865</v>
      </c>
    </row>
    <row r="20" spans="1:8" ht="11.25" customHeight="1">
      <c r="A20" s="513" t="s">
        <v>169</v>
      </c>
      <c r="B20" s="474">
        <f aca="true" t="shared" si="0" ref="B20:G20">B21+B25</f>
        <v>0</v>
      </c>
      <c r="C20" s="474">
        <f t="shared" si="0"/>
        <v>0</v>
      </c>
      <c r="D20" s="474">
        <f t="shared" si="0"/>
        <v>0</v>
      </c>
      <c r="E20" s="474">
        <f t="shared" si="0"/>
        <v>0</v>
      </c>
      <c r="F20" s="474">
        <f t="shared" si="0"/>
        <v>0</v>
      </c>
      <c r="G20" s="474">
        <f t="shared" si="0"/>
        <v>0</v>
      </c>
      <c r="H20" s="514">
        <f>B20-E20</f>
        <v>0</v>
      </c>
    </row>
    <row r="21" spans="1:8" ht="11.25" customHeight="1">
      <c r="A21" s="515" t="s">
        <v>247</v>
      </c>
      <c r="B21" s="516">
        <f aca="true" t="shared" si="1" ref="B21:G21">SUM(B22:B24)</f>
        <v>0</v>
      </c>
      <c r="C21" s="516">
        <f t="shared" si="1"/>
        <v>0</v>
      </c>
      <c r="D21" s="516">
        <f t="shared" si="1"/>
        <v>0</v>
      </c>
      <c r="E21" s="516">
        <f t="shared" si="1"/>
        <v>0</v>
      </c>
      <c r="F21" s="516">
        <f t="shared" si="1"/>
        <v>0</v>
      </c>
      <c r="G21" s="516">
        <f t="shared" si="1"/>
        <v>0</v>
      </c>
      <c r="H21" s="517">
        <f aca="true" t="shared" si="2" ref="H21:H27">B21-E21</f>
        <v>0</v>
      </c>
    </row>
    <row r="22" spans="1:8" ht="11.25" customHeight="1">
      <c r="A22" s="515" t="s">
        <v>284</v>
      </c>
      <c r="B22" s="526"/>
      <c r="C22" s="526"/>
      <c r="D22" s="526"/>
      <c r="E22" s="526"/>
      <c r="F22" s="526"/>
      <c r="G22" s="526"/>
      <c r="H22" s="517">
        <f t="shared" si="2"/>
        <v>0</v>
      </c>
    </row>
    <row r="23" spans="1:8" ht="11.25" customHeight="1">
      <c r="A23" s="515" t="s">
        <v>285</v>
      </c>
      <c r="B23" s="526"/>
      <c r="C23" s="526"/>
      <c r="D23" s="526"/>
      <c r="E23" s="526"/>
      <c r="F23" s="526"/>
      <c r="G23" s="526"/>
      <c r="H23" s="517">
        <f t="shared" si="2"/>
        <v>0</v>
      </c>
    </row>
    <row r="24" spans="1:8" ht="11.25" customHeight="1">
      <c r="A24" s="515" t="s">
        <v>286</v>
      </c>
      <c r="B24" s="526"/>
      <c r="C24" s="526"/>
      <c r="D24" s="526"/>
      <c r="E24" s="526"/>
      <c r="F24" s="526"/>
      <c r="G24" s="526"/>
      <c r="H24" s="517">
        <f t="shared" si="2"/>
        <v>0</v>
      </c>
    </row>
    <row r="25" spans="1:8" ht="11.25" customHeight="1">
      <c r="A25" s="515" t="s">
        <v>287</v>
      </c>
      <c r="B25" s="516">
        <f aca="true" t="shared" si="3" ref="B25:G25">SUM(B26:B27)</f>
        <v>0</v>
      </c>
      <c r="C25" s="516">
        <f t="shared" si="3"/>
        <v>0</v>
      </c>
      <c r="D25" s="516">
        <f t="shared" si="3"/>
        <v>0</v>
      </c>
      <c r="E25" s="516">
        <f t="shared" si="3"/>
        <v>0</v>
      </c>
      <c r="F25" s="516">
        <f t="shared" si="3"/>
        <v>0</v>
      </c>
      <c r="G25" s="516">
        <f t="shared" si="3"/>
        <v>0</v>
      </c>
      <c r="H25" s="517">
        <f t="shared" si="2"/>
        <v>0</v>
      </c>
    </row>
    <row r="26" spans="1:8" ht="11.25" customHeight="1">
      <c r="A26" s="515" t="s">
        <v>288</v>
      </c>
      <c r="B26" s="526"/>
      <c r="C26" s="526"/>
      <c r="D26" s="526"/>
      <c r="E26" s="526"/>
      <c r="F26" s="526"/>
      <c r="G26" s="526"/>
      <c r="H26" s="517">
        <f t="shared" si="2"/>
        <v>0</v>
      </c>
    </row>
    <row r="27" spans="1:8" ht="11.25" customHeight="1">
      <c r="A27" s="515" t="s">
        <v>289</v>
      </c>
      <c r="B27" s="526"/>
      <c r="C27" s="526"/>
      <c r="D27" s="526"/>
      <c r="E27" s="526"/>
      <c r="F27" s="526"/>
      <c r="G27" s="526"/>
      <c r="H27" s="518">
        <f t="shared" si="2"/>
        <v>0</v>
      </c>
    </row>
    <row r="28" spans="1:8" ht="11.25" customHeight="1">
      <c r="A28" s="519"/>
      <c r="B28" s="520"/>
      <c r="C28" s="520"/>
      <c r="D28" s="520"/>
      <c r="E28" s="520"/>
      <c r="F28" s="521"/>
      <c r="G28" s="521"/>
      <c r="H28" s="521"/>
    </row>
    <row r="29" spans="1:8" ht="11.25" customHeight="1">
      <c r="A29" s="1304" t="s">
        <v>291</v>
      </c>
      <c r="B29" s="522">
        <f>C29-1</f>
        <v>2015</v>
      </c>
      <c r="C29" s="1300">
        <v>2016</v>
      </c>
      <c r="D29" s="1301"/>
      <c r="E29" s="1301"/>
      <c r="F29" s="1301"/>
      <c r="G29" s="1302"/>
      <c r="H29" s="492" t="s">
        <v>290</v>
      </c>
    </row>
    <row r="30" spans="1:8" ht="11.25" customHeight="1">
      <c r="A30" s="1305"/>
      <c r="B30" s="511" t="s">
        <v>183</v>
      </c>
      <c r="C30" s="509"/>
      <c r="D30" s="1306" t="s">
        <v>867</v>
      </c>
      <c r="E30" s="1306"/>
      <c r="F30" s="1306"/>
      <c r="G30" s="523"/>
      <c r="H30" s="511" t="s">
        <v>866</v>
      </c>
    </row>
    <row r="31" spans="1:8" ht="11.25" customHeight="1">
      <c r="A31" s="524" t="s">
        <v>170</v>
      </c>
      <c r="B31" s="526"/>
      <c r="C31" s="1263">
        <f>C12-E20-G20</f>
        <v>0</v>
      </c>
      <c r="D31" s="1299"/>
      <c r="E31" s="1299"/>
      <c r="F31" s="1299"/>
      <c r="G31" s="1264"/>
      <c r="H31" s="525">
        <f>B31+C31</f>
        <v>0</v>
      </c>
    </row>
    <row r="32" spans="1:13" ht="16.5" customHeight="1">
      <c r="A32" s="1307" t="s">
        <v>518</v>
      </c>
      <c r="B32" s="1307"/>
      <c r="C32" s="1307"/>
      <c r="D32" s="1307"/>
      <c r="E32" s="1307"/>
      <c r="F32" s="1307"/>
      <c r="G32" s="1307"/>
      <c r="H32" s="1307"/>
      <c r="I32" s="407"/>
      <c r="J32" s="407"/>
      <c r="K32" s="407"/>
      <c r="L32" s="407"/>
      <c r="M32" s="407"/>
    </row>
    <row r="33" spans="1:8" ht="11.25" customHeight="1">
      <c r="A33" s="1308"/>
      <c r="B33" s="1308"/>
      <c r="C33" s="1308"/>
      <c r="D33" s="1308"/>
      <c r="E33" s="1308"/>
      <c r="F33" s="1308"/>
      <c r="G33" s="1308"/>
      <c r="H33" s="1308"/>
    </row>
    <row r="34" spans="1:8" ht="11.25" customHeight="1">
      <c r="A34" s="1309"/>
      <c r="B34" s="1309"/>
      <c r="C34" s="1309"/>
      <c r="D34" s="1309"/>
      <c r="E34" s="1309"/>
      <c r="F34" s="1309"/>
      <c r="G34" s="1309"/>
      <c r="H34" s="1309"/>
    </row>
    <row r="35" spans="1:8" ht="11.25" customHeight="1">
      <c r="A35" s="1303"/>
      <c r="B35" s="1303"/>
      <c r="C35" s="1303"/>
      <c r="D35" s="1303"/>
      <c r="E35" s="1303"/>
      <c r="F35" s="1303"/>
      <c r="G35" s="1303"/>
      <c r="H35" s="1303"/>
    </row>
    <row r="36" spans="1:8" ht="11.25" customHeight="1">
      <c r="A36" s="1303"/>
      <c r="B36" s="1303"/>
      <c r="C36" s="1303"/>
      <c r="D36" s="1303"/>
      <c r="E36" s="1303"/>
      <c r="F36" s="1303"/>
      <c r="G36" s="1303"/>
      <c r="H36" s="1303"/>
    </row>
    <row r="39" ht="11.25" customHeight="1">
      <c r="D39" s="477" t="s">
        <v>306</v>
      </c>
    </row>
  </sheetData>
  <sheetProtection password="C236" sheet="1" objects="1" scenarios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 verticalCentered="1"/>
  <pageMargins left="0" right="0" top="0.5905511811023623" bottom="0.3937007874015748" header="0" footer="0"/>
  <pageSetup horizontalDpi="600" verticalDpi="600" orientation="landscape" paperSize="9" scale="8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1">
      <selection activeCell="B14" sqref="B14"/>
    </sheetView>
  </sheetViews>
  <sheetFormatPr defaultColWidth="8.8515625" defaultRowHeight="12.75"/>
  <cols>
    <col min="1" max="1" width="78.57421875" style="34" customWidth="1"/>
    <col min="2" max="2" width="14.7109375" style="34" customWidth="1"/>
    <col min="3" max="8" width="15.7109375" style="34" customWidth="1"/>
    <col min="9" max="16384" width="8.8515625" style="650" customWidth="1"/>
  </cols>
  <sheetData>
    <row r="1" spans="1:7" ht="15.75">
      <c r="A1" s="540" t="s">
        <v>963</v>
      </c>
      <c r="B1" s="541"/>
      <c r="C1" s="541"/>
      <c r="D1" s="541"/>
      <c r="E1" s="541"/>
      <c r="F1" s="542"/>
      <c r="G1" s="542"/>
    </row>
    <row r="2" spans="1:7" ht="12.75">
      <c r="A2" s="543"/>
      <c r="B2" s="543"/>
      <c r="C2" s="543"/>
      <c r="D2" s="543"/>
      <c r="E2" s="543"/>
      <c r="F2" s="542"/>
      <c r="G2" s="542"/>
    </row>
    <row r="3" spans="1:7" ht="12.75">
      <c r="A3" s="793" t="str">
        <f>'Informações Iniciais'!A1</f>
        <v>PODER EXECUTIVO</v>
      </c>
      <c r="B3" s="793"/>
      <c r="C3" s="793"/>
      <c r="D3" s="793"/>
      <c r="E3" s="793"/>
      <c r="F3" s="793"/>
      <c r="G3" s="793"/>
    </row>
    <row r="4" spans="1:7" ht="12.75">
      <c r="A4" s="793" t="s">
        <v>109</v>
      </c>
      <c r="B4" s="793"/>
      <c r="C4" s="793"/>
      <c r="D4" s="793"/>
      <c r="E4" s="793"/>
      <c r="F4" s="793"/>
      <c r="G4" s="793"/>
    </row>
    <row r="5" spans="1:7" ht="12.75">
      <c r="A5" s="1366" t="s">
        <v>498</v>
      </c>
      <c r="B5" s="1366"/>
      <c r="C5" s="1366"/>
      <c r="D5" s="1366"/>
      <c r="E5" s="1366"/>
      <c r="F5" s="1366"/>
      <c r="G5" s="1366"/>
    </row>
    <row r="6" spans="1:256" ht="12.75">
      <c r="A6" s="793" t="s">
        <v>111</v>
      </c>
      <c r="B6" s="793"/>
      <c r="C6" s="793"/>
      <c r="D6" s="793"/>
      <c r="E6" s="793"/>
      <c r="F6" s="793"/>
      <c r="G6" s="793"/>
      <c r="II6" s="1076" t="s">
        <v>1015</v>
      </c>
      <c r="IJ6" s="1076"/>
      <c r="IK6" s="1076"/>
      <c r="IL6" s="1076"/>
      <c r="IM6" s="1076"/>
      <c r="IN6" s="1076"/>
      <c r="IO6" s="650">
        <f>IF($A$7=IP6,1,0)</f>
        <v>0</v>
      </c>
      <c r="IP6" s="1077" t="s">
        <v>1013</v>
      </c>
      <c r="IQ6" s="1077"/>
      <c r="IR6" s="1077"/>
      <c r="IS6" s="1077"/>
      <c r="IT6" s="1077"/>
      <c r="IU6" s="1077"/>
      <c r="IV6" s="1077"/>
    </row>
    <row r="7" spans="1:256" ht="12.75">
      <c r="A7" s="1366" t="str">
        <f>+'Informações Iniciais'!A5</f>
        <v>5º Bimestre de 2016</v>
      </c>
      <c r="B7" s="1366"/>
      <c r="C7" s="1366"/>
      <c r="D7" s="1366"/>
      <c r="E7" s="1366"/>
      <c r="F7" s="1366"/>
      <c r="G7" s="1366"/>
      <c r="II7" s="1076"/>
      <c r="IJ7" s="1076"/>
      <c r="IK7" s="1076"/>
      <c r="IL7" s="1076"/>
      <c r="IM7" s="1076"/>
      <c r="IN7" s="1076"/>
      <c r="IT7" s="650">
        <f aca="true" t="shared" si="0" ref="IT7:IT12">IF($A$7=IV7,1,0)</f>
        <v>0</v>
      </c>
      <c r="IV7" s="651" t="s">
        <v>1006</v>
      </c>
    </row>
    <row r="8" spans="1:256" ht="15.75">
      <c r="A8" s="1328">
        <f>IF(IT13=1,"","O período acima deve ser escolhido clicando na setinha ao lado da célula. A indicação de período diferente pode comprometer os dados da planilha!!!")</f>
      </c>
      <c r="B8" s="1328"/>
      <c r="C8" s="1328"/>
      <c r="D8" s="1328"/>
      <c r="E8" s="1328"/>
      <c r="F8" s="1328"/>
      <c r="G8" s="1328"/>
      <c r="II8" s="1076"/>
      <c r="IJ8" s="1076"/>
      <c r="IK8" s="1076"/>
      <c r="IL8" s="1076"/>
      <c r="IM8" s="1076"/>
      <c r="IN8" s="1076"/>
      <c r="IT8" s="650">
        <f t="shared" si="0"/>
        <v>0</v>
      </c>
      <c r="IV8" s="651" t="s">
        <v>1007</v>
      </c>
    </row>
    <row r="9" spans="1:256" ht="12.75">
      <c r="A9" s="1400" t="s">
        <v>517</v>
      </c>
      <c r="B9" s="1400"/>
      <c r="C9" s="1400"/>
      <c r="D9" s="1400"/>
      <c r="E9" s="1400"/>
      <c r="F9" s="1400"/>
      <c r="G9" s="545" t="s">
        <v>519</v>
      </c>
      <c r="II9" s="1076"/>
      <c r="IJ9" s="1076"/>
      <c r="IK9" s="1076"/>
      <c r="IL9" s="1076"/>
      <c r="IM9" s="1076"/>
      <c r="IN9" s="1076"/>
      <c r="IT9" s="650">
        <f t="shared" si="0"/>
        <v>0</v>
      </c>
      <c r="IV9" s="651" t="s">
        <v>1008</v>
      </c>
    </row>
    <row r="10" spans="1:256" ht="12.75">
      <c r="A10" s="546"/>
      <c r="B10" s="1344" t="s">
        <v>635</v>
      </c>
      <c r="C10" s="1344" t="s">
        <v>281</v>
      </c>
      <c r="D10" s="1364" t="s">
        <v>113</v>
      </c>
      <c r="E10" s="1365"/>
      <c r="F10" s="1365"/>
      <c r="G10" s="1365"/>
      <c r="II10" s="1076"/>
      <c r="IJ10" s="1076"/>
      <c r="IK10" s="1076"/>
      <c r="IL10" s="1076"/>
      <c r="IM10" s="1076"/>
      <c r="IN10" s="1076"/>
      <c r="IT10" s="650">
        <f t="shared" si="0"/>
        <v>0</v>
      </c>
      <c r="IV10" s="651" t="s">
        <v>1009</v>
      </c>
    </row>
    <row r="11" spans="1:256" ht="12.75">
      <c r="A11" s="547" t="s">
        <v>499</v>
      </c>
      <c r="B11" s="1345"/>
      <c r="C11" s="1345"/>
      <c r="D11" s="1367" t="s">
        <v>119</v>
      </c>
      <c r="E11" s="1368"/>
      <c r="F11" s="1367" t="s">
        <v>118</v>
      </c>
      <c r="G11" s="1369"/>
      <c r="II11" s="1076"/>
      <c r="IJ11" s="1076"/>
      <c r="IK11" s="1076"/>
      <c r="IL11" s="1076"/>
      <c r="IM11" s="1076"/>
      <c r="IN11" s="1076"/>
      <c r="IT11" s="650">
        <f t="shared" si="0"/>
        <v>1</v>
      </c>
      <c r="IV11" s="651" t="s">
        <v>1010</v>
      </c>
    </row>
    <row r="12" spans="1:256" ht="12.75">
      <c r="A12" s="548"/>
      <c r="B12" s="1346"/>
      <c r="C12" s="549" t="s">
        <v>120</v>
      </c>
      <c r="D12" s="1370" t="s">
        <v>121</v>
      </c>
      <c r="E12" s="1371"/>
      <c r="F12" s="1370" t="s">
        <v>262</v>
      </c>
      <c r="G12" s="1372"/>
      <c r="II12" s="1076"/>
      <c r="IJ12" s="1076"/>
      <c r="IK12" s="1076"/>
      <c r="IL12" s="1076"/>
      <c r="IM12" s="1076"/>
      <c r="IN12" s="1076"/>
      <c r="IT12" s="650">
        <f t="shared" si="0"/>
        <v>0</v>
      </c>
      <c r="IV12" s="651" t="s">
        <v>1011</v>
      </c>
    </row>
    <row r="13" spans="1:254" ht="12.75">
      <c r="A13" s="550" t="s">
        <v>509</v>
      </c>
      <c r="B13" s="551">
        <f>SUM(B14:B21)</f>
        <v>4682885</v>
      </c>
      <c r="C13" s="551">
        <f>SUM(C14:C21)</f>
        <v>4682885</v>
      </c>
      <c r="D13" s="1358">
        <f>SUM(D14:D21)</f>
        <v>3054594.92</v>
      </c>
      <c r="E13" s="1359"/>
      <c r="F13" s="1342">
        <f>IF(C13="",0,IF(C13=0,0,D13/C13))</f>
        <v>0.6522891166449741</v>
      </c>
      <c r="G13" s="1343"/>
      <c r="IT13" s="650">
        <f>SUM(IT7:IT12)+IO6</f>
        <v>1</v>
      </c>
    </row>
    <row r="14" spans="1:256" ht="12.75">
      <c r="A14" s="552" t="s">
        <v>823</v>
      </c>
      <c r="B14" s="532">
        <v>2090</v>
      </c>
      <c r="C14" s="533">
        <v>2090</v>
      </c>
      <c r="D14" s="1338">
        <v>2158.74</v>
      </c>
      <c r="E14" s="1355"/>
      <c r="F14" s="1342">
        <f aca="true" t="shared" si="1" ref="F14:F31">IF(C14="",0,IF(C14=0,0,D14/C14))</f>
        <v>1.0328899521531099</v>
      </c>
      <c r="G14" s="1343"/>
      <c r="IU14" s="652" t="s">
        <v>1016</v>
      </c>
      <c r="IV14" s="650">
        <f>+'Informações Iniciais'!C23</f>
        <v>0</v>
      </c>
    </row>
    <row r="15" spans="1:7" ht="12.75">
      <c r="A15" s="552" t="s">
        <v>824</v>
      </c>
      <c r="B15" s="532">
        <v>2090</v>
      </c>
      <c r="C15" s="533">
        <v>2090</v>
      </c>
      <c r="D15" s="1338">
        <v>3853.44</v>
      </c>
      <c r="E15" s="1355"/>
      <c r="F15" s="1342">
        <f t="shared" si="1"/>
        <v>1.8437511961722488</v>
      </c>
      <c r="G15" s="1343"/>
    </row>
    <row r="16" spans="1:7" ht="12.75">
      <c r="A16" s="552" t="s">
        <v>825</v>
      </c>
      <c r="B16" s="532">
        <v>4417455</v>
      </c>
      <c r="C16" s="533">
        <v>4417455</v>
      </c>
      <c r="D16" s="1338">
        <v>2996520.69</v>
      </c>
      <c r="E16" s="1355"/>
      <c r="F16" s="1342">
        <f t="shared" si="1"/>
        <v>0.6783364380621874</v>
      </c>
      <c r="G16" s="1343"/>
    </row>
    <row r="17" spans="1:7" ht="12.75">
      <c r="A17" s="552" t="s">
        <v>500</v>
      </c>
      <c r="B17" s="532">
        <v>261250</v>
      </c>
      <c r="C17" s="533">
        <v>261250</v>
      </c>
      <c r="D17" s="1338">
        <v>52062.05</v>
      </c>
      <c r="E17" s="1355"/>
      <c r="F17" s="1342">
        <f t="shared" si="1"/>
        <v>0.19928057416267944</v>
      </c>
      <c r="G17" s="1343"/>
    </row>
    <row r="18" spans="1:7" ht="12.75">
      <c r="A18" s="552" t="s">
        <v>826</v>
      </c>
      <c r="B18" s="532">
        <v>0</v>
      </c>
      <c r="C18" s="533">
        <v>0</v>
      </c>
      <c r="D18" s="1338">
        <v>0</v>
      </c>
      <c r="E18" s="1355"/>
      <c r="F18" s="1342">
        <f t="shared" si="1"/>
        <v>0</v>
      </c>
      <c r="G18" s="1343"/>
    </row>
    <row r="19" spans="1:7" ht="12.75">
      <c r="A19" s="552" t="s">
        <v>510</v>
      </c>
      <c r="B19" s="532">
        <v>0</v>
      </c>
      <c r="C19" s="533">
        <v>0</v>
      </c>
      <c r="D19" s="1338">
        <v>0</v>
      </c>
      <c r="E19" s="1355"/>
      <c r="F19" s="1342">
        <f t="shared" si="1"/>
        <v>0</v>
      </c>
      <c r="G19" s="1343"/>
    </row>
    <row r="20" spans="1:7" ht="12.75">
      <c r="A20" s="552" t="s">
        <v>511</v>
      </c>
      <c r="B20" s="532">
        <v>0</v>
      </c>
      <c r="C20" s="533">
        <v>0</v>
      </c>
      <c r="D20" s="1338">
        <v>0</v>
      </c>
      <c r="E20" s="1355"/>
      <c r="F20" s="1342">
        <f t="shared" si="1"/>
        <v>0</v>
      </c>
      <c r="G20" s="1343"/>
    </row>
    <row r="21" spans="1:7" ht="12.75">
      <c r="A21" s="552" t="s">
        <v>512</v>
      </c>
      <c r="B21" s="532">
        <v>0</v>
      </c>
      <c r="C21" s="533">
        <v>0</v>
      </c>
      <c r="D21" s="1338">
        <v>0</v>
      </c>
      <c r="E21" s="1355"/>
      <c r="F21" s="1342">
        <f t="shared" si="1"/>
        <v>0</v>
      </c>
      <c r="G21" s="1343"/>
    </row>
    <row r="22" spans="1:7" ht="12.75">
      <c r="A22" s="552" t="s">
        <v>662</v>
      </c>
      <c r="B22" s="551">
        <f>SUM(B23:B28)</f>
        <v>8747907.370000001</v>
      </c>
      <c r="C22" s="551">
        <f>SUM(C23:C28)</f>
        <v>8747907.370000001</v>
      </c>
      <c r="D22" s="1362">
        <f>SUM(D23:D28)</f>
        <v>9226886.56</v>
      </c>
      <c r="E22" s="1363"/>
      <c r="F22" s="1342">
        <f t="shared" si="1"/>
        <v>1.0547535735966531</v>
      </c>
      <c r="G22" s="1343"/>
    </row>
    <row r="23" spans="1:7" ht="12.75">
      <c r="A23" s="552" t="s">
        <v>827</v>
      </c>
      <c r="B23" s="536">
        <v>6887042.37</v>
      </c>
      <c r="C23" s="533">
        <v>6887042.37</v>
      </c>
      <c r="D23" s="1338">
        <v>6887022.67</v>
      </c>
      <c r="E23" s="1355"/>
      <c r="F23" s="1342">
        <f t="shared" si="1"/>
        <v>0.9999971395558584</v>
      </c>
      <c r="G23" s="1343"/>
    </row>
    <row r="24" spans="1:7" ht="12.75">
      <c r="A24" s="552" t="s">
        <v>828</v>
      </c>
      <c r="B24" s="536">
        <v>3135</v>
      </c>
      <c r="C24" s="533">
        <v>3135</v>
      </c>
      <c r="D24" s="1338">
        <v>115550.42</v>
      </c>
      <c r="E24" s="1355"/>
      <c r="F24" s="1342">
        <f t="shared" si="1"/>
        <v>36.85818819776714</v>
      </c>
      <c r="G24" s="1343"/>
    </row>
    <row r="25" spans="1:7" ht="12.75">
      <c r="A25" s="552" t="s">
        <v>829</v>
      </c>
      <c r="B25" s="536">
        <v>196575</v>
      </c>
      <c r="C25" s="533">
        <v>196575</v>
      </c>
      <c r="D25" s="1338">
        <v>83538.62</v>
      </c>
      <c r="E25" s="1355"/>
      <c r="F25" s="1342">
        <f t="shared" si="1"/>
        <v>0.42497072364237565</v>
      </c>
      <c r="G25" s="1343"/>
    </row>
    <row r="26" spans="1:7" ht="12.75">
      <c r="A26" s="552" t="s">
        <v>830</v>
      </c>
      <c r="B26" s="536">
        <v>1439500</v>
      </c>
      <c r="C26" s="533">
        <v>1439500</v>
      </c>
      <c r="D26" s="1338">
        <v>2111741.34</v>
      </c>
      <c r="E26" s="1355"/>
      <c r="F26" s="1342">
        <f t="shared" si="1"/>
        <v>1.4669964154220214</v>
      </c>
      <c r="G26" s="1343"/>
    </row>
    <row r="27" spans="1:7" ht="12.75">
      <c r="A27" s="552" t="s">
        <v>513</v>
      </c>
      <c r="B27" s="536">
        <v>212250</v>
      </c>
      <c r="C27" s="533">
        <v>212250</v>
      </c>
      <c r="D27" s="1338">
        <v>16433.41</v>
      </c>
      <c r="E27" s="1355"/>
      <c r="F27" s="1342">
        <f t="shared" si="1"/>
        <v>0.07742478209658421</v>
      </c>
      <c r="G27" s="1343"/>
    </row>
    <row r="28" spans="1:7" ht="12.75">
      <c r="A28" s="552" t="s">
        <v>514</v>
      </c>
      <c r="B28" s="551">
        <f>SUM(B29:B30)</f>
        <v>9405</v>
      </c>
      <c r="C28" s="551">
        <f>SUM(C29:C30)</f>
        <v>9405</v>
      </c>
      <c r="D28" s="1362">
        <f>SUM(D29:D30)</f>
        <v>12600.1</v>
      </c>
      <c r="E28" s="1363"/>
      <c r="F28" s="1342">
        <f t="shared" si="1"/>
        <v>1.3397235513024988</v>
      </c>
      <c r="G28" s="1343"/>
    </row>
    <row r="29" spans="1:7" ht="12.75">
      <c r="A29" s="552" t="s">
        <v>515</v>
      </c>
      <c r="B29" s="536">
        <v>9405</v>
      </c>
      <c r="C29" s="533">
        <v>9405</v>
      </c>
      <c r="D29" s="1338">
        <v>12600.1</v>
      </c>
      <c r="E29" s="1355"/>
      <c r="F29" s="1342">
        <f t="shared" si="1"/>
        <v>1.3397235513024988</v>
      </c>
      <c r="G29" s="1343"/>
    </row>
    <row r="30" spans="1:7" ht="12.75">
      <c r="A30" s="552" t="s">
        <v>516</v>
      </c>
      <c r="B30" s="536">
        <v>0</v>
      </c>
      <c r="C30" s="533">
        <v>0</v>
      </c>
      <c r="D30" s="1338">
        <v>0</v>
      </c>
      <c r="E30" s="1355"/>
      <c r="F30" s="1342">
        <f t="shared" si="1"/>
        <v>0</v>
      </c>
      <c r="G30" s="1343"/>
    </row>
    <row r="31" spans="1:7" ht="21.75">
      <c r="A31" s="553" t="s">
        <v>831</v>
      </c>
      <c r="B31" s="624">
        <f>B13+B22</f>
        <v>13430792.370000001</v>
      </c>
      <c r="C31" s="624">
        <f>C13+C22</f>
        <v>13430792.370000001</v>
      </c>
      <c r="D31" s="1356">
        <f>D13+D22</f>
        <v>12281481.48</v>
      </c>
      <c r="E31" s="1357"/>
      <c r="F31" s="1349">
        <f t="shared" si="1"/>
        <v>0.9144271716561425</v>
      </c>
      <c r="G31" s="1350"/>
    </row>
    <row r="32" spans="1:7" ht="12.75">
      <c r="A32" s="554"/>
      <c r="B32" s="555"/>
      <c r="C32" s="554"/>
      <c r="D32" s="554"/>
      <c r="E32" s="554"/>
      <c r="F32" s="554"/>
      <c r="G32" s="554"/>
    </row>
    <row r="33" spans="1:7" ht="12.75">
      <c r="A33" s="1373" t="s">
        <v>501</v>
      </c>
      <c r="B33" s="1344" t="s">
        <v>635</v>
      </c>
      <c r="C33" s="1344" t="s">
        <v>281</v>
      </c>
      <c r="D33" s="1364" t="s">
        <v>113</v>
      </c>
      <c r="E33" s="1365"/>
      <c r="F33" s="1365"/>
      <c r="G33" s="1365"/>
    </row>
    <row r="34" spans="1:7" ht="12.75">
      <c r="A34" s="1374"/>
      <c r="B34" s="1345"/>
      <c r="C34" s="1345"/>
      <c r="D34" s="1367" t="s">
        <v>119</v>
      </c>
      <c r="E34" s="1368"/>
      <c r="F34" s="1367" t="s">
        <v>118</v>
      </c>
      <c r="G34" s="1369"/>
    </row>
    <row r="35" spans="1:7" ht="12.75">
      <c r="A35" s="1375"/>
      <c r="B35" s="1346"/>
      <c r="C35" s="549" t="s">
        <v>171</v>
      </c>
      <c r="D35" s="1370" t="s">
        <v>180</v>
      </c>
      <c r="E35" s="1371"/>
      <c r="F35" s="1370" t="s">
        <v>263</v>
      </c>
      <c r="G35" s="1372"/>
    </row>
    <row r="36" spans="1:7" ht="12.75">
      <c r="A36" s="556" t="s">
        <v>426</v>
      </c>
      <c r="B36" s="557">
        <f>SUM(B37:B40)</f>
        <v>1057155</v>
      </c>
      <c r="C36" s="557">
        <f>SUM(C37:C40)</f>
        <v>1057155</v>
      </c>
      <c r="D36" s="1358">
        <f>SUM(D37:D40)</f>
        <v>626410.23</v>
      </c>
      <c r="E36" s="1359"/>
      <c r="F36" s="1342">
        <f aca="true" t="shared" si="2" ref="F36:F44">IF(C36="",0,IF(C36=0,0,D36/C36))</f>
        <v>0.5925434113256807</v>
      </c>
      <c r="G36" s="1343"/>
    </row>
    <row r="37" spans="1:7" ht="12.75">
      <c r="A37" s="556" t="s">
        <v>502</v>
      </c>
      <c r="B37" s="537">
        <v>846065</v>
      </c>
      <c r="C37" s="533">
        <v>846065</v>
      </c>
      <c r="D37" s="1338">
        <v>609836.2</v>
      </c>
      <c r="E37" s="1355"/>
      <c r="F37" s="1342">
        <f t="shared" si="2"/>
        <v>0.7207911921660864</v>
      </c>
      <c r="G37" s="1343"/>
    </row>
    <row r="38" spans="1:7" ht="12.75">
      <c r="A38" s="556" t="s">
        <v>832</v>
      </c>
      <c r="B38" s="537">
        <v>182875</v>
      </c>
      <c r="C38" s="533">
        <v>182875</v>
      </c>
      <c r="D38" s="1338">
        <v>13364.13</v>
      </c>
      <c r="E38" s="1355"/>
      <c r="F38" s="1342">
        <f t="shared" si="2"/>
        <v>0.07307794941900204</v>
      </c>
      <c r="G38" s="1343"/>
    </row>
    <row r="39" spans="1:7" ht="12.75">
      <c r="A39" s="556" t="s">
        <v>833</v>
      </c>
      <c r="B39" s="537">
        <v>0</v>
      </c>
      <c r="C39" s="533">
        <v>0</v>
      </c>
      <c r="D39" s="1338">
        <v>0</v>
      </c>
      <c r="E39" s="1355"/>
      <c r="F39" s="1342">
        <f t="shared" si="2"/>
        <v>0</v>
      </c>
      <c r="G39" s="1343"/>
    </row>
    <row r="40" spans="1:7" ht="12.75">
      <c r="A40" s="556" t="s">
        <v>663</v>
      </c>
      <c r="B40" s="537">
        <v>28215</v>
      </c>
      <c r="C40" s="533">
        <v>28215</v>
      </c>
      <c r="D40" s="1338">
        <v>3209.9</v>
      </c>
      <c r="E40" s="1355"/>
      <c r="F40" s="1342">
        <f t="shared" si="2"/>
        <v>0.11376572744993797</v>
      </c>
      <c r="G40" s="1343"/>
    </row>
    <row r="41" spans="1:7" ht="12.75">
      <c r="A41" s="556" t="s">
        <v>503</v>
      </c>
      <c r="B41" s="537">
        <v>2417015</v>
      </c>
      <c r="C41" s="533">
        <v>2417015</v>
      </c>
      <c r="D41" s="1338">
        <v>85165.08</v>
      </c>
      <c r="E41" s="1355"/>
      <c r="F41" s="1342">
        <f t="shared" si="2"/>
        <v>0.03523564396580079</v>
      </c>
      <c r="G41" s="1343"/>
    </row>
    <row r="42" spans="1:7" ht="12.75">
      <c r="A42" s="558" t="s">
        <v>422</v>
      </c>
      <c r="B42" s="537">
        <v>0</v>
      </c>
      <c r="C42" s="533">
        <v>0</v>
      </c>
      <c r="D42" s="1338">
        <v>0</v>
      </c>
      <c r="E42" s="1355"/>
      <c r="F42" s="1342">
        <f t="shared" si="2"/>
        <v>0</v>
      </c>
      <c r="G42" s="1343"/>
    </row>
    <row r="43" spans="1:7" ht="12.75">
      <c r="A43" s="559" t="s">
        <v>664</v>
      </c>
      <c r="B43" s="538">
        <v>0</v>
      </c>
      <c r="C43" s="539">
        <v>0</v>
      </c>
      <c r="D43" s="1338">
        <v>320000</v>
      </c>
      <c r="E43" s="1355"/>
      <c r="F43" s="1342">
        <f t="shared" si="2"/>
        <v>0</v>
      </c>
      <c r="G43" s="1343"/>
    </row>
    <row r="44" spans="1:7" ht="12.75">
      <c r="A44" s="560" t="s">
        <v>504</v>
      </c>
      <c r="B44" s="561">
        <f>B36+B41+B42+B43</f>
        <v>3474170</v>
      </c>
      <c r="C44" s="561">
        <f>C36+C41+C42+C43</f>
        <v>3474170</v>
      </c>
      <c r="D44" s="1353">
        <f>D36+D41+D42+D43</f>
        <v>1031575.3099999999</v>
      </c>
      <c r="E44" s="1354"/>
      <c r="F44" s="1349">
        <f t="shared" si="2"/>
        <v>0.29692712503993757</v>
      </c>
      <c r="G44" s="1350"/>
    </row>
    <row r="45" spans="1:8" ht="12.75">
      <c r="A45" s="555"/>
      <c r="B45" s="555"/>
      <c r="C45" s="555"/>
      <c r="D45" s="555"/>
      <c r="E45" s="555"/>
      <c r="F45" s="562"/>
      <c r="G45" s="562"/>
      <c r="H45" s="563"/>
    </row>
    <row r="46" spans="1:8" ht="15.75" customHeight="1">
      <c r="A46" s="1378" t="s">
        <v>292</v>
      </c>
      <c r="B46" s="1344" t="s">
        <v>822</v>
      </c>
      <c r="C46" s="1344" t="s">
        <v>283</v>
      </c>
      <c r="D46" s="1351" t="s">
        <v>176</v>
      </c>
      <c r="E46" s="1352"/>
      <c r="F46" s="1351" t="s">
        <v>177</v>
      </c>
      <c r="G46" s="1352"/>
      <c r="H46" s="1325" t="s">
        <v>689</v>
      </c>
    </row>
    <row r="47" spans="1:8" ht="15.75" customHeight="1">
      <c r="A47" s="1379"/>
      <c r="B47" s="1345"/>
      <c r="C47" s="1345"/>
      <c r="D47" s="564" t="s">
        <v>119</v>
      </c>
      <c r="E47" s="565" t="s">
        <v>118</v>
      </c>
      <c r="F47" s="564" t="s">
        <v>119</v>
      </c>
      <c r="G47" s="565" t="s">
        <v>118</v>
      </c>
      <c r="H47" s="1326"/>
    </row>
    <row r="48" spans="1:8" ht="15.75" customHeight="1">
      <c r="A48" s="566" t="s">
        <v>293</v>
      </c>
      <c r="B48" s="1346"/>
      <c r="C48" s="567" t="s">
        <v>181</v>
      </c>
      <c r="D48" s="568" t="s">
        <v>274</v>
      </c>
      <c r="E48" s="569" t="s">
        <v>505</v>
      </c>
      <c r="F48" s="568" t="s">
        <v>182</v>
      </c>
      <c r="G48" s="569" t="s">
        <v>506</v>
      </c>
      <c r="H48" s="1327"/>
    </row>
    <row r="49" spans="1:8" ht="12.75">
      <c r="A49" s="570" t="s">
        <v>184</v>
      </c>
      <c r="B49" s="571">
        <f>SUM(B50:B52)</f>
        <v>4561866</v>
      </c>
      <c r="C49" s="571">
        <f aca="true" t="shared" si="3" ref="C49:H49">SUM(C50:C52)</f>
        <v>6336866</v>
      </c>
      <c r="D49" s="571">
        <f t="shared" si="3"/>
        <v>3145257.55</v>
      </c>
      <c r="E49" s="68">
        <f aca="true" t="shared" si="4" ref="E49:G57">IF($C49="",0,IF($C49=0,0,D49/$C49))</f>
        <v>0.4963427583919243</v>
      </c>
      <c r="F49" s="572">
        <f t="shared" si="3"/>
        <v>3145257.55</v>
      </c>
      <c r="G49" s="374">
        <f t="shared" si="4"/>
        <v>0.4963427583919243</v>
      </c>
      <c r="H49" s="557">
        <f t="shared" si="3"/>
        <v>0</v>
      </c>
    </row>
    <row r="50" spans="1:8" ht="12.75">
      <c r="A50" s="554" t="s">
        <v>248</v>
      </c>
      <c r="B50" s="536">
        <v>2157590</v>
      </c>
      <c r="C50" s="536">
        <v>2877590</v>
      </c>
      <c r="D50" s="536">
        <v>1290863.77</v>
      </c>
      <c r="E50" s="62">
        <f t="shared" si="4"/>
        <v>0.44859197105911547</v>
      </c>
      <c r="F50" s="643">
        <v>1290863.77</v>
      </c>
      <c r="G50" s="374">
        <f t="shared" si="4"/>
        <v>0.44859197105911547</v>
      </c>
      <c r="H50" s="533">
        <v>0</v>
      </c>
    </row>
    <row r="51" spans="1:8" ht="12.75">
      <c r="A51" s="554" t="s">
        <v>294</v>
      </c>
      <c r="B51" s="536">
        <v>5200</v>
      </c>
      <c r="C51" s="536">
        <v>5200</v>
      </c>
      <c r="D51" s="536">
        <v>0</v>
      </c>
      <c r="E51" s="62">
        <f t="shared" si="4"/>
        <v>0</v>
      </c>
      <c r="F51" s="627">
        <v>0</v>
      </c>
      <c r="G51" s="374">
        <f t="shared" si="4"/>
        <v>0</v>
      </c>
      <c r="H51" s="533">
        <v>0</v>
      </c>
    </row>
    <row r="52" spans="1:8" ht="12.75">
      <c r="A52" s="554" t="s">
        <v>249</v>
      </c>
      <c r="B52" s="536">
        <v>2399076</v>
      </c>
      <c r="C52" s="536">
        <v>3454076</v>
      </c>
      <c r="D52" s="536">
        <v>1854393.78</v>
      </c>
      <c r="E52" s="62">
        <f t="shared" si="4"/>
        <v>0.5368711574383425</v>
      </c>
      <c r="F52" s="627">
        <v>1854393.78</v>
      </c>
      <c r="G52" s="374">
        <f t="shared" si="4"/>
        <v>0.5368711574383425</v>
      </c>
      <c r="H52" s="533">
        <v>0</v>
      </c>
    </row>
    <row r="53" spans="1:8" ht="12.75">
      <c r="A53" s="554" t="s">
        <v>185</v>
      </c>
      <c r="B53" s="551">
        <f>SUM(B54:B56)</f>
        <v>989040</v>
      </c>
      <c r="C53" s="551">
        <f aca="true" t="shared" si="5" ref="C53:H53">SUM(C54:C56)</f>
        <v>1319040</v>
      </c>
      <c r="D53" s="551">
        <f t="shared" si="5"/>
        <v>422500</v>
      </c>
      <c r="E53" s="62">
        <f t="shared" si="4"/>
        <v>0.3203087093643862</v>
      </c>
      <c r="F53" s="573">
        <f t="shared" si="5"/>
        <v>422500</v>
      </c>
      <c r="G53" s="374">
        <f t="shared" si="4"/>
        <v>0.3203087093643862</v>
      </c>
      <c r="H53" s="574">
        <f t="shared" si="5"/>
        <v>0</v>
      </c>
    </row>
    <row r="54" spans="1:8" ht="12.75">
      <c r="A54" s="543" t="s">
        <v>295</v>
      </c>
      <c r="B54" s="536">
        <v>989040</v>
      </c>
      <c r="C54" s="534">
        <v>1319040</v>
      </c>
      <c r="D54" s="625">
        <v>422500</v>
      </c>
      <c r="E54" s="62">
        <f t="shared" si="4"/>
        <v>0.3203087093643862</v>
      </c>
      <c r="F54" s="535">
        <v>422500</v>
      </c>
      <c r="G54" s="374">
        <f t="shared" si="4"/>
        <v>0.3203087093643862</v>
      </c>
      <c r="H54" s="644">
        <v>0</v>
      </c>
    </row>
    <row r="55" spans="1:8" ht="12.75">
      <c r="A55" s="543" t="s">
        <v>296</v>
      </c>
      <c r="B55" s="536">
        <v>0</v>
      </c>
      <c r="C55" s="534">
        <v>0</v>
      </c>
      <c r="D55" s="625">
        <v>0</v>
      </c>
      <c r="E55" s="62">
        <f t="shared" si="4"/>
        <v>0</v>
      </c>
      <c r="F55" s="535">
        <v>0</v>
      </c>
      <c r="G55" s="374">
        <f t="shared" si="4"/>
        <v>0</v>
      </c>
      <c r="H55" s="644">
        <v>0</v>
      </c>
    </row>
    <row r="56" spans="1:8" ht="12.75">
      <c r="A56" s="543" t="s">
        <v>297</v>
      </c>
      <c r="B56" s="536">
        <v>0</v>
      </c>
      <c r="C56" s="534">
        <v>0</v>
      </c>
      <c r="D56" s="625">
        <v>0</v>
      </c>
      <c r="E56" s="69">
        <f t="shared" si="4"/>
        <v>0</v>
      </c>
      <c r="F56" s="535">
        <v>0</v>
      </c>
      <c r="G56" s="374">
        <f t="shared" si="4"/>
        <v>0</v>
      </c>
      <c r="H56" s="645">
        <v>0</v>
      </c>
    </row>
    <row r="57" spans="1:256" ht="12.75">
      <c r="A57" s="575" t="s">
        <v>834</v>
      </c>
      <c r="B57" s="626">
        <f>B49+B53</f>
        <v>5550906</v>
      </c>
      <c r="C57" s="626">
        <f aca="true" t="shared" si="6" ref="C57:H57">C49+C53</f>
        <v>7655906</v>
      </c>
      <c r="D57" s="626">
        <f t="shared" si="6"/>
        <v>3567757.55</v>
      </c>
      <c r="E57" s="63">
        <f t="shared" si="4"/>
        <v>0.46601376114074544</v>
      </c>
      <c r="F57" s="626">
        <f t="shared" si="6"/>
        <v>3567757.55</v>
      </c>
      <c r="G57" s="63">
        <f t="shared" si="4"/>
        <v>0.46601376114074544</v>
      </c>
      <c r="H57" s="66">
        <f t="shared" si="6"/>
        <v>0</v>
      </c>
      <c r="IR57" s="653"/>
      <c r="IS57" s="653"/>
      <c r="IT57" s="653"/>
      <c r="IU57" s="652" t="s">
        <v>1017</v>
      </c>
      <c r="IV57" s="650">
        <f>IF($A$7=$IV$12,IF(D57&lt;&gt;(F57+H57),0,1),1)</f>
        <v>1</v>
      </c>
    </row>
    <row r="58" spans="1:254" ht="15.75">
      <c r="A58" s="1329">
        <f>IF(IV57=0,"O total das DESPESAS EMPENHADAS deve ser igual ao somatório das DESPESAS LIQUIDADAS e Inscritas em Restos a Pagar não Processados. Verifique os valores acima!!!","")</f>
      </c>
      <c r="B58" s="1329"/>
      <c r="C58" s="1329"/>
      <c r="D58" s="1329"/>
      <c r="E58" s="1329"/>
      <c r="F58" s="1329"/>
      <c r="G58" s="1329"/>
      <c r="H58" s="1329"/>
      <c r="IT58" s="654"/>
    </row>
    <row r="59" spans="1:8" ht="15" customHeight="1">
      <c r="A59" s="1382" t="s">
        <v>474</v>
      </c>
      <c r="B59" s="1344" t="s">
        <v>822</v>
      </c>
      <c r="C59" s="1344" t="s">
        <v>283</v>
      </c>
      <c r="D59" s="1351" t="s">
        <v>176</v>
      </c>
      <c r="E59" s="1352"/>
      <c r="F59" s="1351" t="s">
        <v>177</v>
      </c>
      <c r="G59" s="1352"/>
      <c r="H59" s="1325" t="s">
        <v>689</v>
      </c>
    </row>
    <row r="60" spans="1:8" ht="15" customHeight="1">
      <c r="A60" s="1383"/>
      <c r="B60" s="1345"/>
      <c r="C60" s="1345"/>
      <c r="D60" s="564" t="s">
        <v>119</v>
      </c>
      <c r="E60" s="565" t="s">
        <v>118</v>
      </c>
      <c r="F60" s="564" t="s">
        <v>119</v>
      </c>
      <c r="G60" s="565" t="s">
        <v>118</v>
      </c>
      <c r="H60" s="1326"/>
    </row>
    <row r="61" spans="1:8" ht="15" customHeight="1">
      <c r="A61" s="1384"/>
      <c r="B61" s="1346"/>
      <c r="C61" s="1346"/>
      <c r="D61" s="568" t="s">
        <v>183</v>
      </c>
      <c r="E61" s="576" t="s">
        <v>835</v>
      </c>
      <c r="F61" s="568" t="s">
        <v>423</v>
      </c>
      <c r="G61" s="576" t="s">
        <v>836</v>
      </c>
      <c r="H61" s="1327"/>
    </row>
    <row r="62" spans="1:8" ht="12.75">
      <c r="A62" s="577" t="s">
        <v>475</v>
      </c>
      <c r="B62" s="628">
        <v>0</v>
      </c>
      <c r="C62" s="629">
        <v>0</v>
      </c>
      <c r="D62" s="534">
        <v>0</v>
      </c>
      <c r="E62" s="68">
        <f>IF($D$57="",0,IF($D$57=0,0,D62/$D$57))</f>
        <v>0</v>
      </c>
      <c r="F62" s="535">
        <v>0</v>
      </c>
      <c r="G62" s="68">
        <f>IF($F$57="",0,IF($F$57=0,0,F62/$F$57))</f>
        <v>0</v>
      </c>
      <c r="H62" s="644">
        <v>0</v>
      </c>
    </row>
    <row r="63" spans="1:8" ht="12.75">
      <c r="A63" s="578" t="s">
        <v>476</v>
      </c>
      <c r="B63" s="630">
        <v>0</v>
      </c>
      <c r="C63" s="631">
        <v>0</v>
      </c>
      <c r="D63" s="534">
        <v>0</v>
      </c>
      <c r="E63" s="62">
        <f aca="true" t="shared" si="7" ref="E63:E71">IF($D$57="",0,IF($D$57=0,0,D63/$D$57))</f>
        <v>0</v>
      </c>
      <c r="F63" s="633">
        <v>0</v>
      </c>
      <c r="G63" s="62">
        <f aca="true" t="shared" si="8" ref="G63:G72">IF($F$57="",0,IF($F$57=0,0,F63/$F$57))</f>
        <v>0</v>
      </c>
      <c r="H63" s="644">
        <v>0</v>
      </c>
    </row>
    <row r="64" spans="1:8" ht="12.75">
      <c r="A64" s="578" t="s">
        <v>507</v>
      </c>
      <c r="B64" s="64">
        <f>SUM(B65:B67)</f>
        <v>1057155</v>
      </c>
      <c r="C64" s="64">
        <f aca="true" t="shared" si="9" ref="C64:H64">SUM(C65:C67)</f>
        <v>1057155</v>
      </c>
      <c r="D64" s="64">
        <f t="shared" si="9"/>
        <v>626410.23</v>
      </c>
      <c r="E64" s="62">
        <f t="shared" si="7"/>
        <v>0.1755753358296446</v>
      </c>
      <c r="F64" s="64">
        <f t="shared" si="9"/>
        <v>0</v>
      </c>
      <c r="G64" s="62">
        <f t="shared" si="8"/>
        <v>0</v>
      </c>
      <c r="H64" s="65">
        <f t="shared" si="9"/>
        <v>0</v>
      </c>
    </row>
    <row r="65" spans="1:8" ht="12.75">
      <c r="A65" s="579" t="s">
        <v>508</v>
      </c>
      <c r="B65" s="574">
        <f>+B36</f>
        <v>1057155</v>
      </c>
      <c r="C65" s="574">
        <f>+C36</f>
        <v>1057155</v>
      </c>
      <c r="D65" s="574">
        <f>+D36</f>
        <v>626410.23</v>
      </c>
      <c r="E65" s="62">
        <f t="shared" si="7"/>
        <v>0.1755753358296446</v>
      </c>
      <c r="F65" s="633"/>
      <c r="G65" s="62">
        <f t="shared" si="8"/>
        <v>0</v>
      </c>
      <c r="H65" s="644"/>
    </row>
    <row r="66" spans="1:8" ht="12.75">
      <c r="A66" s="579" t="s">
        <v>477</v>
      </c>
      <c r="B66" s="533">
        <v>0</v>
      </c>
      <c r="C66" s="533">
        <v>0</v>
      </c>
      <c r="D66" s="534">
        <v>0</v>
      </c>
      <c r="E66" s="62">
        <f t="shared" si="7"/>
        <v>0</v>
      </c>
      <c r="F66" s="633">
        <v>0</v>
      </c>
      <c r="G66" s="62">
        <f t="shared" si="8"/>
        <v>0</v>
      </c>
      <c r="H66" s="644">
        <v>0</v>
      </c>
    </row>
    <row r="67" spans="1:8" ht="12.75">
      <c r="A67" s="580" t="s">
        <v>478</v>
      </c>
      <c r="B67" s="533">
        <v>0</v>
      </c>
      <c r="C67" s="533">
        <v>0</v>
      </c>
      <c r="D67" s="533">
        <v>0</v>
      </c>
      <c r="E67" s="62">
        <f t="shared" si="7"/>
        <v>0</v>
      </c>
      <c r="F67" s="646">
        <v>0</v>
      </c>
      <c r="G67" s="62">
        <f t="shared" si="8"/>
        <v>0</v>
      </c>
      <c r="H67" s="644">
        <v>0</v>
      </c>
    </row>
    <row r="68" spans="1:8" ht="12.75">
      <c r="A68" s="581" t="s">
        <v>479</v>
      </c>
      <c r="B68" s="533">
        <v>0</v>
      </c>
      <c r="C68" s="533">
        <v>0</v>
      </c>
      <c r="D68" s="533">
        <v>0</v>
      </c>
      <c r="E68" s="62">
        <f t="shared" si="7"/>
        <v>0</v>
      </c>
      <c r="F68" s="646">
        <v>0</v>
      </c>
      <c r="G68" s="62">
        <f t="shared" si="8"/>
        <v>0</v>
      </c>
      <c r="H68" s="644">
        <v>0</v>
      </c>
    </row>
    <row r="69" spans="1:8" ht="23.25">
      <c r="A69" s="582" t="s">
        <v>652</v>
      </c>
      <c r="B69" s="632">
        <v>0</v>
      </c>
      <c r="C69" s="632">
        <v>0</v>
      </c>
      <c r="D69" s="533">
        <v>0</v>
      </c>
      <c r="E69" s="62">
        <f t="shared" si="7"/>
        <v>0</v>
      </c>
      <c r="F69" s="634">
        <v>0</v>
      </c>
      <c r="G69" s="62">
        <f t="shared" si="8"/>
        <v>0</v>
      </c>
      <c r="H69" s="644">
        <v>0</v>
      </c>
    </row>
    <row r="70" spans="1:8" ht="12.75">
      <c r="A70" s="583" t="s">
        <v>653</v>
      </c>
      <c r="B70" s="533">
        <v>0</v>
      </c>
      <c r="C70" s="533">
        <v>0</v>
      </c>
      <c r="D70" s="533">
        <v>0</v>
      </c>
      <c r="E70" s="62">
        <f t="shared" si="7"/>
        <v>0</v>
      </c>
      <c r="F70" s="646">
        <v>0</v>
      </c>
      <c r="G70" s="62">
        <f t="shared" si="8"/>
        <v>0</v>
      </c>
      <c r="H70" s="644">
        <v>0</v>
      </c>
    </row>
    <row r="71" spans="1:8" ht="24" customHeight="1">
      <c r="A71" s="584" t="s">
        <v>654</v>
      </c>
      <c r="B71" s="533">
        <v>0</v>
      </c>
      <c r="C71" s="533">
        <v>0</v>
      </c>
      <c r="D71" s="533">
        <v>0</v>
      </c>
      <c r="E71" s="69">
        <f t="shared" si="7"/>
        <v>0</v>
      </c>
      <c r="F71" s="646">
        <v>0</v>
      </c>
      <c r="G71" s="69">
        <f t="shared" si="8"/>
        <v>0</v>
      </c>
      <c r="H71" s="645">
        <v>0</v>
      </c>
    </row>
    <row r="72" spans="1:256" ht="12.75">
      <c r="A72" s="585" t="s">
        <v>837</v>
      </c>
      <c r="B72" s="66">
        <f>SUM(B62:B64,B68:B71)</f>
        <v>1057155</v>
      </c>
      <c r="C72" s="66">
        <f aca="true" t="shared" si="10" ref="C72:H72">SUM(C62:C64,C68:C71)</f>
        <v>1057155</v>
      </c>
      <c r="D72" s="66">
        <f t="shared" si="10"/>
        <v>626410.23</v>
      </c>
      <c r="E72" s="63">
        <f>IF($D$57="",0,IF($D$57=0,0,D72/$D$57))</f>
        <v>0.1755753358296446</v>
      </c>
      <c r="F72" s="66">
        <f t="shared" si="10"/>
        <v>0</v>
      </c>
      <c r="G72" s="63">
        <f t="shared" si="8"/>
        <v>0</v>
      </c>
      <c r="H72" s="66">
        <f t="shared" si="10"/>
        <v>0</v>
      </c>
      <c r="IR72" s="653"/>
      <c r="IS72" s="653"/>
      <c r="IT72" s="653"/>
      <c r="IU72" s="652" t="s">
        <v>1017</v>
      </c>
      <c r="IV72" s="650">
        <f>IF($A$7=$IV$12,IF(D72&lt;&gt;(F72+H72),0,1),1)</f>
        <v>1</v>
      </c>
    </row>
    <row r="73" spans="1:254" ht="15.75">
      <c r="A73" s="1329">
        <f>IF(IV72=0,"O total das DESPESAS EMPENHADAS deve ser igual ao somatório das DESPESAS LIQUIDADAS e Inscritas em Restos a Pagar não Processados. Verifique os valores acima!!!","")</f>
      </c>
      <c r="B73" s="1329"/>
      <c r="C73" s="1329"/>
      <c r="D73" s="1329"/>
      <c r="E73" s="1329"/>
      <c r="F73" s="1329"/>
      <c r="G73" s="1329"/>
      <c r="H73" s="1329"/>
      <c r="IT73" s="654"/>
    </row>
    <row r="74" spans="1:8" ht="12.75">
      <c r="A74" s="589" t="s">
        <v>838</v>
      </c>
      <c r="B74" s="635">
        <f>B57-B72</f>
        <v>4493751</v>
      </c>
      <c r="C74" s="635">
        <f>C57-C72</f>
        <v>6598751</v>
      </c>
      <c r="D74" s="635">
        <f>D57-D72</f>
        <v>2941347.32</v>
      </c>
      <c r="E74" s="590"/>
      <c r="F74" s="635">
        <f>F57-F72</f>
        <v>3567757.55</v>
      </c>
      <c r="G74" s="590"/>
      <c r="H74" s="635">
        <f>H57-H72</f>
        <v>0</v>
      </c>
    </row>
    <row r="75" spans="1:8" ht="15" customHeight="1">
      <c r="A75" s="591"/>
      <c r="B75" s="570"/>
      <c r="C75" s="592"/>
      <c r="D75" s="554"/>
      <c r="E75" s="554"/>
      <c r="F75" s="542"/>
      <c r="G75" s="587"/>
      <c r="H75" s="588"/>
    </row>
    <row r="76" spans="1:256" ht="24.75" customHeight="1">
      <c r="A76" s="1376" t="s">
        <v>967</v>
      </c>
      <c r="B76" s="1376"/>
      <c r="C76" s="1376"/>
      <c r="D76" s="1377"/>
      <c r="E76" s="1360">
        <f>IF(IV76=3,IF(D$31="",0,IF(D$31=0,0,IF(A$7=IV$12,D$74/D$31,F$74/D$31))),IF(IV76=4,"Verifique o preenchimento da planilha INFORMAÇÕES INICIAIS","HÁ ERROS ACIMA. VERIFIQUE!!!"))</f>
        <v>0.2904989561568756</v>
      </c>
      <c r="F76" s="1361"/>
      <c r="G76" s="1361"/>
      <c r="H76" s="1361"/>
      <c r="IU76" s="652" t="s">
        <v>1014</v>
      </c>
      <c r="IV76" s="650">
        <f>+IV72+IV57+IT13+IV14</f>
        <v>3</v>
      </c>
    </row>
    <row r="77" spans="1:8" ht="13.5" customHeight="1">
      <c r="A77" s="589"/>
      <c r="B77" s="589"/>
      <c r="C77" s="589"/>
      <c r="D77" s="589"/>
      <c r="E77" s="556"/>
      <c r="F77" s="562"/>
      <c r="G77" s="586"/>
      <c r="H77" s="593"/>
    </row>
    <row r="78" spans="1:8" ht="17.25" customHeight="1">
      <c r="A78" s="1376" t="s">
        <v>968</v>
      </c>
      <c r="B78" s="1376"/>
      <c r="C78" s="1376"/>
      <c r="D78" s="1377"/>
      <c r="E78" s="1380">
        <f>IF(D$31="",0,IF(D$31=0,0,IF(A$7=IV$12,D$74-D$31*0.15,F$74-D$31*0.15)))</f>
        <v>1725535.3279999997</v>
      </c>
      <c r="F78" s="1381"/>
      <c r="G78" s="1381"/>
      <c r="H78" s="1381"/>
    </row>
    <row r="79" spans="1:8" ht="17.25" customHeight="1">
      <c r="A79" s="594"/>
      <c r="B79" s="594"/>
      <c r="C79" s="594"/>
      <c r="D79" s="594"/>
      <c r="E79" s="556"/>
      <c r="F79" s="562"/>
      <c r="G79" s="587"/>
      <c r="H79" s="588"/>
    </row>
    <row r="80" spans="1:8" ht="11.25" customHeight="1">
      <c r="A80" s="1330" t="s">
        <v>665</v>
      </c>
      <c r="B80" s="1385"/>
      <c r="C80" s="1330" t="s">
        <v>677</v>
      </c>
      <c r="D80" s="1344" t="s">
        <v>678</v>
      </c>
      <c r="E80" s="1344" t="s">
        <v>481</v>
      </c>
      <c r="F80" s="1344" t="s">
        <v>482</v>
      </c>
      <c r="G80" s="1330" t="s">
        <v>679</v>
      </c>
      <c r="H80" s="1331"/>
    </row>
    <row r="81" spans="1:8" ht="23.25" customHeight="1">
      <c r="A81" s="1334"/>
      <c r="B81" s="1387"/>
      <c r="C81" s="1334"/>
      <c r="D81" s="1346"/>
      <c r="E81" s="1346"/>
      <c r="F81" s="1346"/>
      <c r="G81" s="1334"/>
      <c r="H81" s="1335"/>
    </row>
    <row r="82" spans="1:8" ht="15" customHeight="1">
      <c r="A82" s="1390" t="s">
        <v>483</v>
      </c>
      <c r="B82" s="1391"/>
      <c r="C82" s="636">
        <v>0</v>
      </c>
      <c r="D82" s="637">
        <v>0</v>
      </c>
      <c r="E82" s="638">
        <v>0</v>
      </c>
      <c r="F82" s="639">
        <v>0</v>
      </c>
      <c r="G82" s="1347">
        <v>0</v>
      </c>
      <c r="H82" s="1348"/>
    </row>
    <row r="83" spans="1:8" ht="12" customHeight="1">
      <c r="A83" s="1392" t="s">
        <v>484</v>
      </c>
      <c r="B83" s="1393"/>
      <c r="C83" s="640"/>
      <c r="D83" s="641"/>
      <c r="E83" s="536"/>
      <c r="F83" s="627"/>
      <c r="G83" s="1338"/>
      <c r="H83" s="1339"/>
    </row>
    <row r="84" spans="1:8" ht="12" customHeight="1">
      <c r="A84" s="527" t="s">
        <v>655</v>
      </c>
      <c r="B84" s="528"/>
      <c r="C84" s="640"/>
      <c r="D84" s="641"/>
      <c r="E84" s="536"/>
      <c r="F84" s="627"/>
      <c r="G84" s="1338"/>
      <c r="H84" s="1339"/>
    </row>
    <row r="85" spans="1:8" ht="11.25" customHeight="1">
      <c r="A85" s="529" t="s">
        <v>656</v>
      </c>
      <c r="B85" s="528"/>
      <c r="C85" s="640"/>
      <c r="D85" s="641"/>
      <c r="E85" s="625"/>
      <c r="F85" s="535"/>
      <c r="G85" s="1338"/>
      <c r="H85" s="1339"/>
    </row>
    <row r="86" spans="1:8" ht="12.75" customHeight="1">
      <c r="A86" s="1394" t="s">
        <v>485</v>
      </c>
      <c r="B86" s="1395"/>
      <c r="C86" s="67">
        <f>SUM(C82:C85)</f>
        <v>0</v>
      </c>
      <c r="D86" s="67">
        <f>SUM(D82:D85)</f>
        <v>0</v>
      </c>
      <c r="E86" s="67">
        <f>SUM(E82:E85)</f>
        <v>0</v>
      </c>
      <c r="F86" s="67">
        <f>SUM(F82:F85)</f>
        <v>0</v>
      </c>
      <c r="G86" s="1336">
        <f>SUM(G82:G85)</f>
        <v>0</v>
      </c>
      <c r="H86" s="1337"/>
    </row>
    <row r="87" spans="1:8" ht="12.75" customHeight="1">
      <c r="A87" s="595"/>
      <c r="B87" s="554"/>
      <c r="C87" s="596"/>
      <c r="D87" s="597"/>
      <c r="E87" s="597"/>
      <c r="F87" s="587"/>
      <c r="G87" s="587"/>
      <c r="H87" s="588"/>
    </row>
    <row r="88" spans="1:8" ht="12.75" customHeight="1">
      <c r="A88" s="1331" t="s">
        <v>486</v>
      </c>
      <c r="B88" s="1385"/>
      <c r="C88" s="1332" t="s">
        <v>657</v>
      </c>
      <c r="D88" s="1333"/>
      <c r="E88" s="1333"/>
      <c r="F88" s="1333"/>
      <c r="G88" s="1333"/>
      <c r="H88" s="1333"/>
    </row>
    <row r="89" spans="1:8" ht="15.75" customHeight="1">
      <c r="A89" s="1333"/>
      <c r="B89" s="1386"/>
      <c r="C89" s="1334"/>
      <c r="D89" s="1335"/>
      <c r="E89" s="1335"/>
      <c r="F89" s="1335"/>
      <c r="G89" s="1335"/>
      <c r="H89" s="1335"/>
    </row>
    <row r="90" spans="1:8" ht="14.25" customHeight="1">
      <c r="A90" s="1333"/>
      <c r="B90" s="1386"/>
      <c r="C90" s="1330" t="s">
        <v>487</v>
      </c>
      <c r="D90" s="1385"/>
      <c r="E90" s="1332" t="s">
        <v>488</v>
      </c>
      <c r="F90" s="1333"/>
      <c r="G90" s="1330" t="s">
        <v>489</v>
      </c>
      <c r="H90" s="1331"/>
    </row>
    <row r="91" spans="1:8" ht="13.5" customHeight="1">
      <c r="A91" s="1333"/>
      <c r="B91" s="1386"/>
      <c r="C91" s="1332"/>
      <c r="D91" s="1386"/>
      <c r="E91" s="1332"/>
      <c r="F91" s="1333"/>
      <c r="G91" s="1332"/>
      <c r="H91" s="1333"/>
    </row>
    <row r="92" spans="1:8" ht="12" customHeight="1">
      <c r="A92" s="1335"/>
      <c r="B92" s="1387"/>
      <c r="C92" s="1334"/>
      <c r="D92" s="1387"/>
      <c r="E92" s="1334" t="s">
        <v>420</v>
      </c>
      <c r="F92" s="1335"/>
      <c r="G92" s="1334"/>
      <c r="H92" s="1335"/>
    </row>
    <row r="93" spans="1:8" ht="13.5" customHeight="1">
      <c r="A93" s="530" t="s">
        <v>490</v>
      </c>
      <c r="B93" s="58"/>
      <c r="C93" s="1340">
        <v>0</v>
      </c>
      <c r="D93" s="1341"/>
      <c r="E93" s="1340"/>
      <c r="F93" s="1341"/>
      <c r="G93" s="1340"/>
      <c r="H93" s="1341"/>
    </row>
    <row r="94" spans="1:8" ht="13.5" customHeight="1">
      <c r="A94" s="531" t="s">
        <v>484</v>
      </c>
      <c r="B94" s="59"/>
      <c r="C94" s="1321"/>
      <c r="D94" s="1322"/>
      <c r="E94" s="1321"/>
      <c r="F94" s="1322"/>
      <c r="G94" s="1321"/>
      <c r="H94" s="1322"/>
    </row>
    <row r="95" spans="1:8" ht="13.5" customHeight="1">
      <c r="A95" s="531" t="s">
        <v>658</v>
      </c>
      <c r="B95" s="59"/>
      <c r="C95" s="1321"/>
      <c r="D95" s="1322"/>
      <c r="E95" s="1321"/>
      <c r="F95" s="1322"/>
      <c r="G95" s="1321"/>
      <c r="H95" s="1322"/>
    </row>
    <row r="96" spans="1:8" ht="27" customHeight="1">
      <c r="A96" s="531" t="s">
        <v>659</v>
      </c>
      <c r="B96" s="59"/>
      <c r="C96" s="1321"/>
      <c r="D96" s="1322"/>
      <c r="E96" s="1321"/>
      <c r="F96" s="1322"/>
      <c r="G96" s="1321"/>
      <c r="H96" s="1322"/>
    </row>
    <row r="97" spans="1:8" ht="13.5" customHeight="1">
      <c r="A97" s="598" t="s">
        <v>839</v>
      </c>
      <c r="B97" s="599"/>
      <c r="C97" s="1323">
        <f>SUM(C93:D96)</f>
        <v>0</v>
      </c>
      <c r="D97" s="1324"/>
      <c r="E97" s="1323">
        <f>SUM(E93:F96)</f>
        <v>0</v>
      </c>
      <c r="F97" s="1324"/>
      <c r="G97" s="1323">
        <f>SUM(G93:H96)</f>
        <v>0</v>
      </c>
      <c r="H97" s="1324"/>
    </row>
    <row r="98" spans="1:8" ht="12.75" customHeight="1">
      <c r="A98" s="554"/>
      <c r="B98" s="554"/>
      <c r="C98" s="597"/>
      <c r="D98" s="597"/>
      <c r="E98" s="597"/>
      <c r="F98" s="587"/>
      <c r="G98" s="587"/>
      <c r="H98" s="588"/>
    </row>
    <row r="99" spans="1:8" ht="12.75" customHeight="1">
      <c r="A99" s="1331" t="s">
        <v>666</v>
      </c>
      <c r="B99" s="1385"/>
      <c r="C99" s="1330" t="s">
        <v>491</v>
      </c>
      <c r="D99" s="1331"/>
      <c r="E99" s="1331"/>
      <c r="F99" s="1331"/>
      <c r="G99" s="1331"/>
      <c r="H99" s="1331"/>
    </row>
    <row r="100" spans="1:8" ht="15.75" customHeight="1">
      <c r="A100" s="1333"/>
      <c r="B100" s="1386"/>
      <c r="C100" s="1334"/>
      <c r="D100" s="1335"/>
      <c r="E100" s="1335"/>
      <c r="F100" s="1335"/>
      <c r="G100" s="1335"/>
      <c r="H100" s="1335"/>
    </row>
    <row r="101" spans="1:8" ht="15" customHeight="1">
      <c r="A101" s="1333"/>
      <c r="B101" s="1386"/>
      <c r="C101" s="1330" t="s">
        <v>487</v>
      </c>
      <c r="D101" s="1385"/>
      <c r="E101" s="1330" t="s">
        <v>488</v>
      </c>
      <c r="F101" s="1331"/>
      <c r="G101" s="1330" t="s">
        <v>489</v>
      </c>
      <c r="H101" s="1331"/>
    </row>
    <row r="102" spans="1:8" ht="12.75">
      <c r="A102" s="1333"/>
      <c r="B102" s="1386"/>
      <c r="C102" s="1332"/>
      <c r="D102" s="1386"/>
      <c r="E102" s="1332"/>
      <c r="F102" s="1333"/>
      <c r="G102" s="1332"/>
      <c r="H102" s="1333"/>
    </row>
    <row r="103" spans="1:8" ht="12.75">
      <c r="A103" s="1335"/>
      <c r="B103" s="1387"/>
      <c r="C103" s="1334"/>
      <c r="D103" s="1387"/>
      <c r="E103" s="1334" t="s">
        <v>421</v>
      </c>
      <c r="F103" s="1335"/>
      <c r="G103" s="1334"/>
      <c r="H103" s="1335"/>
    </row>
    <row r="104" spans="1:8" ht="12.75">
      <c r="A104" s="530" t="s">
        <v>492</v>
      </c>
      <c r="B104" s="60"/>
      <c r="C104" s="1340">
        <v>0</v>
      </c>
      <c r="D104" s="1341"/>
      <c r="E104" s="1398"/>
      <c r="F104" s="1399"/>
      <c r="G104" s="1398"/>
      <c r="H104" s="1399"/>
    </row>
    <row r="105" spans="1:8" ht="12.75">
      <c r="A105" s="531" t="s">
        <v>484</v>
      </c>
      <c r="B105" s="61"/>
      <c r="C105" s="1321"/>
      <c r="D105" s="1322"/>
      <c r="E105" s="1388"/>
      <c r="F105" s="1389"/>
      <c r="G105" s="1388"/>
      <c r="H105" s="1389"/>
    </row>
    <row r="106" spans="1:8" ht="12.75">
      <c r="A106" s="531" t="s">
        <v>660</v>
      </c>
      <c r="B106" s="61"/>
      <c r="C106" s="1321"/>
      <c r="D106" s="1322"/>
      <c r="E106" s="1388"/>
      <c r="F106" s="1389"/>
      <c r="G106" s="1388"/>
      <c r="H106" s="1389"/>
    </row>
    <row r="107" spans="1:8" ht="24.75" customHeight="1">
      <c r="A107" s="531" t="s">
        <v>661</v>
      </c>
      <c r="B107" s="61"/>
      <c r="C107" s="1321"/>
      <c r="D107" s="1322"/>
      <c r="E107" s="1388"/>
      <c r="F107" s="1389"/>
      <c r="G107" s="1388"/>
      <c r="H107" s="1389"/>
    </row>
    <row r="108" spans="1:8" ht="12.75" customHeight="1">
      <c r="A108" s="1396" t="s">
        <v>493</v>
      </c>
      <c r="B108" s="1396"/>
      <c r="C108" s="1323">
        <f>SUM(C104:D107)</f>
        <v>0</v>
      </c>
      <c r="D108" s="1324"/>
      <c r="E108" s="1323">
        <f>SUM(E104:F107)</f>
        <v>0</v>
      </c>
      <c r="F108" s="1324"/>
      <c r="G108" s="1323">
        <f>SUM(G104:H107)</f>
        <v>0</v>
      </c>
      <c r="H108" s="1324"/>
    </row>
    <row r="109" spans="1:7" ht="12.75">
      <c r="A109" s="554"/>
      <c r="B109" s="600"/>
      <c r="C109" s="597"/>
      <c r="D109" s="554"/>
      <c r="E109" s="554"/>
      <c r="F109" s="542"/>
      <c r="G109" s="542"/>
    </row>
    <row r="110" spans="1:8" ht="12.75">
      <c r="A110" s="601" t="s">
        <v>292</v>
      </c>
      <c r="B110" s="1344" t="s">
        <v>822</v>
      </c>
      <c r="C110" s="1344" t="s">
        <v>283</v>
      </c>
      <c r="D110" s="1364" t="s">
        <v>176</v>
      </c>
      <c r="E110" s="1365"/>
      <c r="F110" s="1364" t="s">
        <v>177</v>
      </c>
      <c r="G110" s="1365"/>
      <c r="H110" s="1325" t="s">
        <v>689</v>
      </c>
    </row>
    <row r="111" spans="1:8" ht="12.75">
      <c r="A111" s="602" t="s">
        <v>299</v>
      </c>
      <c r="B111" s="1345"/>
      <c r="C111" s="1345"/>
      <c r="D111" s="603" t="s">
        <v>119</v>
      </c>
      <c r="E111" s="604" t="s">
        <v>118</v>
      </c>
      <c r="F111" s="603" t="s">
        <v>119</v>
      </c>
      <c r="G111" s="604" t="s">
        <v>118</v>
      </c>
      <c r="H111" s="1326"/>
    </row>
    <row r="112" spans="1:8" ht="21.75" customHeight="1">
      <c r="A112" s="566"/>
      <c r="B112" s="1346"/>
      <c r="C112" s="1346"/>
      <c r="D112" s="568" t="s">
        <v>494</v>
      </c>
      <c r="E112" s="605" t="s">
        <v>495</v>
      </c>
      <c r="F112" s="568" t="s">
        <v>496</v>
      </c>
      <c r="G112" s="605" t="s">
        <v>497</v>
      </c>
      <c r="H112" s="1327"/>
    </row>
    <row r="113" spans="1:8" ht="12.75">
      <c r="A113" s="554" t="s">
        <v>300</v>
      </c>
      <c r="B113" s="536">
        <v>1855560</v>
      </c>
      <c r="C113" s="536">
        <v>2425560</v>
      </c>
      <c r="D113" s="625">
        <v>690798.48</v>
      </c>
      <c r="E113" s="62">
        <f aca="true" t="shared" si="11" ref="E113:E119">IF($D$120="",0,IF($D$120=0,0,D113/$D$120))</f>
        <v>0.19362259635607804</v>
      </c>
      <c r="F113" s="625">
        <v>690798.48</v>
      </c>
      <c r="G113" s="62">
        <f>IF($F$120="",0,IF($F$120=0,0,F113/$F$120))</f>
        <v>0.19362259635607804</v>
      </c>
      <c r="H113" s="647">
        <v>0</v>
      </c>
    </row>
    <row r="114" spans="1:8" ht="12.75">
      <c r="A114" s="554" t="s">
        <v>301</v>
      </c>
      <c r="B114" s="536">
        <v>1353360</v>
      </c>
      <c r="C114" s="536">
        <v>2793360</v>
      </c>
      <c r="D114" s="625">
        <v>2074002.79</v>
      </c>
      <c r="E114" s="62">
        <f t="shared" si="11"/>
        <v>0.5813183101525494</v>
      </c>
      <c r="F114" s="633">
        <v>2074002.79</v>
      </c>
      <c r="G114" s="62">
        <f aca="true" t="shared" si="12" ref="G114:G119">IF($F$120="",0,IF($F$120=0,0,F114/$F$120))</f>
        <v>0.5813183101525494</v>
      </c>
      <c r="H114" s="644">
        <v>0</v>
      </c>
    </row>
    <row r="115" spans="1:8" ht="12.75">
      <c r="A115" s="554" t="s">
        <v>302</v>
      </c>
      <c r="B115" s="536">
        <v>0</v>
      </c>
      <c r="C115" s="536">
        <v>0</v>
      </c>
      <c r="D115" s="625">
        <v>0</v>
      </c>
      <c r="E115" s="62">
        <f t="shared" si="11"/>
        <v>0</v>
      </c>
      <c r="F115" s="633">
        <v>0</v>
      </c>
      <c r="G115" s="62">
        <f t="shared" si="12"/>
        <v>0</v>
      </c>
      <c r="H115" s="644">
        <v>0</v>
      </c>
    </row>
    <row r="116" spans="1:8" ht="12.75">
      <c r="A116" s="554" t="s">
        <v>303</v>
      </c>
      <c r="B116" s="536">
        <v>91520</v>
      </c>
      <c r="C116" s="536">
        <v>136520</v>
      </c>
      <c r="D116" s="625">
        <v>107900.68</v>
      </c>
      <c r="E116" s="62">
        <f t="shared" si="11"/>
        <v>0.030243277041064626</v>
      </c>
      <c r="F116" s="633">
        <v>107900.68</v>
      </c>
      <c r="G116" s="62">
        <f t="shared" si="12"/>
        <v>0.030243277041064626</v>
      </c>
      <c r="H116" s="644">
        <v>0</v>
      </c>
    </row>
    <row r="117" spans="1:8" ht="12.75">
      <c r="A117" s="554" t="s">
        <v>304</v>
      </c>
      <c r="B117" s="536">
        <v>298550</v>
      </c>
      <c r="C117" s="536">
        <v>298550</v>
      </c>
      <c r="D117" s="625">
        <v>53473.49</v>
      </c>
      <c r="E117" s="62">
        <f t="shared" si="11"/>
        <v>0.01498798313803582</v>
      </c>
      <c r="F117" s="633">
        <v>53473.49</v>
      </c>
      <c r="G117" s="62">
        <f t="shared" si="12"/>
        <v>0.01498798313803582</v>
      </c>
      <c r="H117" s="644">
        <v>0</v>
      </c>
    </row>
    <row r="118" spans="1:8" ht="12.75">
      <c r="A118" s="554" t="s">
        <v>305</v>
      </c>
      <c r="B118" s="536">
        <v>0</v>
      </c>
      <c r="C118" s="536">
        <v>0</v>
      </c>
      <c r="D118" s="625">
        <v>0</v>
      </c>
      <c r="E118" s="62">
        <f t="shared" si="11"/>
        <v>0</v>
      </c>
      <c r="F118" s="633">
        <v>0</v>
      </c>
      <c r="G118" s="62">
        <f t="shared" si="12"/>
        <v>0</v>
      </c>
      <c r="H118" s="644">
        <v>0</v>
      </c>
    </row>
    <row r="119" spans="1:8" ht="12.75">
      <c r="A119" s="597" t="s">
        <v>273</v>
      </c>
      <c r="B119" s="783">
        <v>1951916</v>
      </c>
      <c r="C119" s="783">
        <v>2001916</v>
      </c>
      <c r="D119" s="784">
        <v>641582.11</v>
      </c>
      <c r="E119" s="62">
        <f t="shared" si="11"/>
        <v>0.179827833312272</v>
      </c>
      <c r="F119" s="785">
        <v>641582.11</v>
      </c>
      <c r="G119" s="62">
        <f t="shared" si="12"/>
        <v>0.179827833312272</v>
      </c>
      <c r="H119" s="786">
        <v>0</v>
      </c>
    </row>
    <row r="120" spans="1:8" ht="12.75">
      <c r="A120" s="560" t="s">
        <v>188</v>
      </c>
      <c r="B120" s="561">
        <f>SUM(B113:B119)</f>
        <v>5550906</v>
      </c>
      <c r="C120" s="561">
        <f aca="true" t="shared" si="13" ref="C120:H120">SUM(C113:C119)</f>
        <v>7655906</v>
      </c>
      <c r="D120" s="561">
        <f t="shared" si="13"/>
        <v>3567757.5500000003</v>
      </c>
      <c r="E120" s="606"/>
      <c r="F120" s="561">
        <f t="shared" si="13"/>
        <v>3567757.5500000003</v>
      </c>
      <c r="G120" s="606"/>
      <c r="H120" s="607">
        <f t="shared" si="13"/>
        <v>0</v>
      </c>
    </row>
    <row r="121" spans="1:8" ht="12.75">
      <c r="A121" s="1401" t="s">
        <v>1043</v>
      </c>
      <c r="B121" s="1401"/>
      <c r="C121" s="1401"/>
      <c r="D121" s="1401"/>
      <c r="E121" s="1401"/>
      <c r="F121" s="1401"/>
      <c r="G121" s="1401"/>
      <c r="H121" s="1401"/>
    </row>
    <row r="122" spans="1:7" ht="12.75">
      <c r="A122" s="554" t="s">
        <v>0</v>
      </c>
      <c r="B122" s="608"/>
      <c r="C122" s="608"/>
      <c r="D122" s="554"/>
      <c r="E122" s="554"/>
      <c r="F122" s="562"/>
      <c r="G122" s="562"/>
    </row>
    <row r="123" spans="1:7" ht="12.75">
      <c r="A123" s="609" t="s">
        <v>965</v>
      </c>
      <c r="B123" s="608"/>
      <c r="C123" s="608"/>
      <c r="D123" s="554"/>
      <c r="E123" s="554"/>
      <c r="F123" s="562"/>
      <c r="G123" s="562"/>
    </row>
    <row r="124" spans="1:7" ht="12.75">
      <c r="A124" s="609" t="s">
        <v>966</v>
      </c>
      <c r="B124" s="608"/>
      <c r="C124" s="608"/>
      <c r="D124" s="554"/>
      <c r="E124" s="554"/>
      <c r="F124" s="562"/>
      <c r="G124" s="562"/>
    </row>
    <row r="125" spans="1:7" ht="12.75">
      <c r="A125" s="610" t="s">
        <v>840</v>
      </c>
      <c r="B125" s="611"/>
      <c r="C125" s="611"/>
      <c r="D125" s="554"/>
      <c r="E125" s="554"/>
      <c r="F125" s="562"/>
      <c r="G125" s="562"/>
    </row>
    <row r="126" spans="1:7" ht="12.75">
      <c r="A126" s="610" t="s">
        <v>680</v>
      </c>
      <c r="B126" s="542"/>
      <c r="C126" s="542"/>
      <c r="D126" s="542"/>
      <c r="E126" s="542"/>
      <c r="F126" s="542"/>
      <c r="G126" s="542"/>
    </row>
    <row r="127" spans="1:7" ht="12.75">
      <c r="A127" s="609" t="s">
        <v>969</v>
      </c>
      <c r="B127" s="542"/>
      <c r="C127" s="542"/>
      <c r="D127" s="542"/>
      <c r="E127" s="542"/>
      <c r="F127" s="542"/>
      <c r="G127" s="542"/>
    </row>
    <row r="128" spans="1:3" ht="12.75">
      <c r="A128" s="1397" t="s">
        <v>970</v>
      </c>
      <c r="B128" s="1397"/>
      <c r="C128" s="1397"/>
    </row>
  </sheetData>
  <sheetProtection password="C236" sheet="1" objects="1" scenarios="1" formatColumns="0" selectLockedCells="1"/>
  <mergeCells count="162"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4:D94"/>
    <mergeCell ref="C90:D92"/>
    <mergeCell ref="E96:F96"/>
    <mergeCell ref="A78:D78"/>
    <mergeCell ref="A80:B81"/>
    <mergeCell ref="C80:C81"/>
    <mergeCell ref="D80:D81"/>
    <mergeCell ref="E93:F93"/>
    <mergeCell ref="A46:A47"/>
    <mergeCell ref="D46:E46"/>
    <mergeCell ref="E78:H78"/>
    <mergeCell ref="F80:F81"/>
    <mergeCell ref="E80:E81"/>
    <mergeCell ref="H46:H48"/>
    <mergeCell ref="H59:H61"/>
    <mergeCell ref="F46:G46"/>
    <mergeCell ref="F59:G59"/>
    <mergeCell ref="A59:A61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41:E41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7:G37"/>
    <mergeCell ref="F38:G38"/>
    <mergeCell ref="F39:G39"/>
    <mergeCell ref="F40:G40"/>
    <mergeCell ref="F41:G41"/>
    <mergeCell ref="F42:G4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</mergeCells>
  <conditionalFormatting sqref="A8:G8">
    <cfRule type="expression" priority="6" dxfId="0" stopIfTrue="1">
      <formula>IT13&lt;&gt;1</formula>
    </cfRule>
  </conditionalFormatting>
  <conditionalFormatting sqref="A58:H58">
    <cfRule type="expression" priority="5" dxfId="0" stopIfTrue="1">
      <formula>IV57=0</formula>
    </cfRule>
  </conditionalFormatting>
  <conditionalFormatting sqref="A73:H73">
    <cfRule type="expression" priority="4" dxfId="0" stopIfTrue="1">
      <formula>IV72=0</formula>
    </cfRule>
  </conditionalFormatting>
  <conditionalFormatting sqref="E76:H76">
    <cfRule type="cellIs" priority="2" dxfId="4" operator="lessThan" stopIfTrue="1">
      <formula>0.15</formula>
    </cfRule>
    <cfRule type="expression" priority="3" dxfId="0" stopIfTrue="1">
      <formula>IV76&lt;&gt;3</formula>
    </cfRule>
  </conditionalFormatting>
  <conditionalFormatting sqref="B65:D65">
    <cfRule type="expression" priority="1" dxfId="4" stopIfTrue="1">
      <formula>B65&lt;&gt;B36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5511811023623" right="0.1968503937007874" top="0.5905511811023623" bottom="0.1968503937007874" header="0.11811023622047245" footer="0.11811023622047245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115" zoomScaleNormal="115" zoomScalePageLayoutView="0" workbookViewId="0" topLeftCell="A1">
      <selection activeCell="A11" sqref="A11"/>
    </sheetView>
  </sheetViews>
  <sheetFormatPr defaultColWidth="9.140625" defaultRowHeight="12.75"/>
  <cols>
    <col min="1" max="1" width="75.7109375" style="675" customWidth="1"/>
    <col min="2" max="2" width="14.7109375" style="675" customWidth="1"/>
    <col min="3" max="3" width="8.28125" style="675" customWidth="1"/>
    <col min="4" max="8" width="12.7109375" style="675" customWidth="1"/>
    <col min="9" max="16384" width="9.140625" style="675" customWidth="1"/>
  </cols>
  <sheetData>
    <row r="1" spans="1:7" ht="15.75">
      <c r="A1" s="672" t="s">
        <v>964</v>
      </c>
      <c r="B1" s="673"/>
      <c r="C1" s="673"/>
      <c r="D1" s="673"/>
      <c r="E1" s="673"/>
      <c r="F1" s="674"/>
      <c r="G1" s="674"/>
    </row>
    <row r="2" spans="1:7" ht="12.75">
      <c r="A2" s="676"/>
      <c r="B2" s="676"/>
      <c r="C2" s="676"/>
      <c r="D2" s="676"/>
      <c r="E2" s="676"/>
      <c r="F2" s="674"/>
      <c r="G2" s="674"/>
    </row>
    <row r="3" spans="1:7" ht="12.75">
      <c r="A3" s="1413" t="str">
        <f>+'Informações Iniciais'!A1:B1</f>
        <v>PODER EXECUTIVO</v>
      </c>
      <c r="B3" s="1413"/>
      <c r="C3" s="1413"/>
      <c r="D3" s="1413"/>
      <c r="E3" s="1413"/>
      <c r="F3" s="1413"/>
      <c r="G3" s="1413"/>
    </row>
    <row r="4" spans="1:7" ht="12.75">
      <c r="A4" s="1413" t="s">
        <v>109</v>
      </c>
      <c r="B4" s="1413"/>
      <c r="C4" s="1413"/>
      <c r="D4" s="1413"/>
      <c r="E4" s="1413"/>
      <c r="F4" s="1413"/>
      <c r="G4" s="1413"/>
    </row>
    <row r="5" spans="1:7" ht="12.75">
      <c r="A5" s="1414" t="s">
        <v>498</v>
      </c>
      <c r="B5" s="1414"/>
      <c r="C5" s="1414"/>
      <c r="D5" s="1414"/>
      <c r="E5" s="1414"/>
      <c r="F5" s="1414"/>
      <c r="G5" s="1414"/>
    </row>
    <row r="6" spans="1:7" ht="12.75">
      <c r="A6" s="1413" t="s">
        <v>111</v>
      </c>
      <c r="B6" s="1413"/>
      <c r="C6" s="1413"/>
      <c r="D6" s="1413"/>
      <c r="E6" s="1413"/>
      <c r="F6" s="1413"/>
      <c r="G6" s="1413"/>
    </row>
    <row r="7" spans="1:7" ht="12.75">
      <c r="A7" s="1413" t="str">
        <f>+'Informações Iniciais'!A5:B5</f>
        <v>5º Bimestre de 2016</v>
      </c>
      <c r="B7" s="1413"/>
      <c r="C7" s="1413"/>
      <c r="D7" s="1413"/>
      <c r="E7" s="1413"/>
      <c r="F7" s="1413"/>
      <c r="G7" s="1413"/>
    </row>
    <row r="8" spans="1:7" ht="12.75">
      <c r="A8" s="676"/>
      <c r="B8" s="676"/>
      <c r="C8" s="676"/>
      <c r="D8" s="676"/>
      <c r="E8" s="676"/>
      <c r="F8" s="674"/>
      <c r="G8" s="674"/>
    </row>
    <row r="9" spans="1:8" ht="12.75">
      <c r="A9" s="677" t="s">
        <v>692</v>
      </c>
      <c r="B9" s="673"/>
      <c r="C9" s="673"/>
      <c r="D9" s="673"/>
      <c r="E9" s="674"/>
      <c r="F9" s="674"/>
      <c r="G9" s="678"/>
      <c r="H9" s="706" t="s">
        <v>519</v>
      </c>
    </row>
    <row r="10" spans="1:8" ht="12.75" customHeight="1">
      <c r="A10" s="708" t="s">
        <v>1018</v>
      </c>
      <c r="B10" s="1325" t="s">
        <v>667</v>
      </c>
      <c r="C10" s="1420"/>
      <c r="D10" s="1418" t="s">
        <v>176</v>
      </c>
      <c r="E10" s="1419"/>
      <c r="F10" s="1418" t="s">
        <v>177</v>
      </c>
      <c r="G10" s="1419"/>
      <c r="H10" s="1325" t="s">
        <v>690</v>
      </c>
    </row>
    <row r="11" spans="1:8" ht="21.75" customHeight="1">
      <c r="A11" s="709" t="s">
        <v>1003</v>
      </c>
      <c r="B11" s="1326"/>
      <c r="C11" s="1421"/>
      <c r="D11" s="679" t="s">
        <v>119</v>
      </c>
      <c r="E11" s="680" t="s">
        <v>118</v>
      </c>
      <c r="F11" s="679" t="s">
        <v>119</v>
      </c>
      <c r="G11" s="680" t="s">
        <v>118</v>
      </c>
      <c r="H11" s="1326"/>
    </row>
    <row r="12" spans="1:8" ht="12.75">
      <c r="A12" s="681" t="s">
        <v>293</v>
      </c>
      <c r="B12" s="1327"/>
      <c r="C12" s="1422"/>
      <c r="D12" s="682" t="s">
        <v>121</v>
      </c>
      <c r="E12" s="683" t="s">
        <v>262</v>
      </c>
      <c r="F12" s="682" t="s">
        <v>171</v>
      </c>
      <c r="G12" s="683" t="s">
        <v>472</v>
      </c>
      <c r="H12" s="1327"/>
    </row>
    <row r="13" spans="1:8" ht="12.75">
      <c r="A13" s="684" t="s">
        <v>184</v>
      </c>
      <c r="B13" s="1358">
        <f>SUM(B14:C16)</f>
        <v>0</v>
      </c>
      <c r="C13" s="1359"/>
      <c r="D13" s="685">
        <f>SUM(D14:D16)</f>
        <v>0</v>
      </c>
      <c r="E13" s="685">
        <f>IF($B13="",0,IF($B13=0,0,D13/$B13))</f>
        <v>0</v>
      </c>
      <c r="F13" s="685">
        <f>SUM(F14:F16)</f>
        <v>0</v>
      </c>
      <c r="G13" s="685">
        <f>IF($B13="",0,IF($B13=0,0,F13/$B13))</f>
        <v>0</v>
      </c>
      <c r="H13" s="424">
        <f>SUM(H14:H16)</f>
        <v>0</v>
      </c>
    </row>
    <row r="14" spans="1:8" ht="12.75">
      <c r="A14" s="686" t="s">
        <v>248</v>
      </c>
      <c r="B14" s="1338"/>
      <c r="C14" s="1355"/>
      <c r="D14" s="625"/>
      <c r="E14" s="685">
        <f aca="true" t="shared" si="0" ref="E14:G21">IF($B14="",0,IF($B14=0,0,D14/$B14))</f>
        <v>0</v>
      </c>
      <c r="F14" s="625"/>
      <c r="G14" s="685">
        <f t="shared" si="0"/>
        <v>0</v>
      </c>
      <c r="H14" s="615"/>
    </row>
    <row r="15" spans="1:8" ht="12.75">
      <c r="A15" s="686" t="s">
        <v>294</v>
      </c>
      <c r="B15" s="1338"/>
      <c r="C15" s="1355"/>
      <c r="D15" s="625"/>
      <c r="E15" s="685">
        <f t="shared" si="0"/>
        <v>0</v>
      </c>
      <c r="F15" s="625"/>
      <c r="G15" s="685">
        <f t="shared" si="0"/>
        <v>0</v>
      </c>
      <c r="H15" s="615"/>
    </row>
    <row r="16" spans="1:8" ht="12.75">
      <c r="A16" s="686" t="s">
        <v>249</v>
      </c>
      <c r="B16" s="1338"/>
      <c r="C16" s="1355"/>
      <c r="D16" s="625"/>
      <c r="E16" s="685">
        <f t="shared" si="0"/>
        <v>0</v>
      </c>
      <c r="F16" s="625"/>
      <c r="G16" s="685">
        <f t="shared" si="0"/>
        <v>0</v>
      </c>
      <c r="H16" s="615"/>
    </row>
    <row r="17" spans="1:8" ht="12.75">
      <c r="A17" s="686" t="s">
        <v>185</v>
      </c>
      <c r="B17" s="1362">
        <f>SUM(B18:C20)</f>
        <v>0</v>
      </c>
      <c r="C17" s="1363"/>
      <c r="D17" s="685">
        <f>SUM(D18:D20)</f>
        <v>0</v>
      </c>
      <c r="E17" s="685">
        <f t="shared" si="0"/>
        <v>0</v>
      </c>
      <c r="F17" s="685">
        <f>SUM(F18:F20)</f>
        <v>0</v>
      </c>
      <c r="G17" s="685">
        <f t="shared" si="0"/>
        <v>0</v>
      </c>
      <c r="H17" s="423">
        <f>SUM(H18:H20)</f>
        <v>0</v>
      </c>
    </row>
    <row r="18" spans="1:8" ht="12.75">
      <c r="A18" s="676" t="s">
        <v>295</v>
      </c>
      <c r="B18" s="1338"/>
      <c r="C18" s="1355"/>
      <c r="D18" s="625"/>
      <c r="E18" s="685">
        <f t="shared" si="0"/>
        <v>0</v>
      </c>
      <c r="F18" s="625"/>
      <c r="G18" s="685">
        <f t="shared" si="0"/>
        <v>0</v>
      </c>
      <c r="H18" s="710"/>
    </row>
    <row r="19" spans="1:8" ht="12.75">
      <c r="A19" s="676" t="s">
        <v>296</v>
      </c>
      <c r="B19" s="1338"/>
      <c r="C19" s="1355"/>
      <c r="D19" s="625"/>
      <c r="E19" s="685">
        <f t="shared" si="0"/>
        <v>0</v>
      </c>
      <c r="F19" s="625"/>
      <c r="G19" s="685">
        <f t="shared" si="0"/>
        <v>0</v>
      </c>
      <c r="H19" s="710"/>
    </row>
    <row r="20" spans="1:8" ht="12.75">
      <c r="A20" s="676" t="s">
        <v>297</v>
      </c>
      <c r="B20" s="1425"/>
      <c r="C20" s="1426"/>
      <c r="D20" s="625"/>
      <c r="E20" s="685">
        <f t="shared" si="0"/>
        <v>0</v>
      </c>
      <c r="F20" s="625"/>
      <c r="G20" s="685">
        <f t="shared" si="0"/>
        <v>0</v>
      </c>
      <c r="H20" s="711"/>
    </row>
    <row r="21" spans="1:10" ht="12.75">
      <c r="A21" s="687" t="s">
        <v>473</v>
      </c>
      <c r="B21" s="1423">
        <f>B13+B17</f>
        <v>0</v>
      </c>
      <c r="C21" s="1424"/>
      <c r="D21" s="688">
        <f>D13+D17</f>
        <v>0</v>
      </c>
      <c r="E21" s="689">
        <f t="shared" si="0"/>
        <v>0</v>
      </c>
      <c r="F21" s="688">
        <f>F13+F17</f>
        <v>0</v>
      </c>
      <c r="G21" s="689">
        <f t="shared" si="0"/>
        <v>0</v>
      </c>
      <c r="H21" s="690">
        <f>H13+H17</f>
        <v>0</v>
      </c>
      <c r="I21" s="675">
        <f>IF(A7=J21,IF(D21-(F21+H21)&lt;&gt;0,1,0),0)</f>
        <v>0</v>
      </c>
      <c r="J21" s="675" t="s">
        <v>1011</v>
      </c>
    </row>
    <row r="22" spans="1:8" ht="15.75">
      <c r="A22" s="1404">
        <f>IF(I21=1,"O total das DESPESAS EMPENHADAS deve coreesponder ao somatório das DESPESAS LIQUIDADAS + Inscritas em Restos a Pagar não Processados","")</f>
      </c>
      <c r="B22" s="1404"/>
      <c r="C22" s="1404"/>
      <c r="D22" s="1404"/>
      <c r="E22" s="1404"/>
      <c r="F22" s="1404"/>
      <c r="G22" s="1404"/>
      <c r="H22" s="1404"/>
    </row>
    <row r="23" spans="1:8" ht="12.75">
      <c r="A23" s="1407" t="s">
        <v>474</v>
      </c>
      <c r="B23" s="1407"/>
      <c r="C23" s="1408"/>
      <c r="D23" s="1418" t="s">
        <v>176</v>
      </c>
      <c r="E23" s="1419"/>
      <c r="F23" s="1418" t="s">
        <v>177</v>
      </c>
      <c r="G23" s="1419"/>
      <c r="H23" s="1415" t="s">
        <v>690</v>
      </c>
    </row>
    <row r="24" spans="1:8" ht="21.75" customHeight="1">
      <c r="A24" s="1409"/>
      <c r="B24" s="1409"/>
      <c r="C24" s="1410"/>
      <c r="D24" s="691" t="s">
        <v>119</v>
      </c>
      <c r="E24" s="692" t="s">
        <v>118</v>
      </c>
      <c r="F24" s="691" t="s">
        <v>119</v>
      </c>
      <c r="G24" s="692" t="s">
        <v>118</v>
      </c>
      <c r="H24" s="1416"/>
    </row>
    <row r="25" spans="1:8" ht="12.75">
      <c r="A25" s="1411"/>
      <c r="B25" s="1409"/>
      <c r="C25" s="1412"/>
      <c r="D25" s="682" t="s">
        <v>180</v>
      </c>
      <c r="E25" s="683" t="s">
        <v>668</v>
      </c>
      <c r="F25" s="682" t="s">
        <v>274</v>
      </c>
      <c r="G25" s="683" t="s">
        <v>669</v>
      </c>
      <c r="H25" s="1417"/>
    </row>
    <row r="26" spans="1:8" ht="12.75">
      <c r="A26" s="693" t="s">
        <v>476</v>
      </c>
      <c r="B26" s="694"/>
      <c r="C26" s="695"/>
      <c r="D26" s="625"/>
      <c r="E26" s="616"/>
      <c r="F26" s="642"/>
      <c r="G26" s="615"/>
      <c r="H26" s="707"/>
    </row>
    <row r="27" spans="1:8" ht="12.75">
      <c r="A27" s="693" t="s">
        <v>507</v>
      </c>
      <c r="B27" s="693"/>
      <c r="C27" s="695"/>
      <c r="D27" s="685">
        <f>SUM(D28:D30)</f>
        <v>0</v>
      </c>
      <c r="E27" s="685">
        <f>SUM(E28:E30)</f>
        <v>0</v>
      </c>
      <c r="F27" s="685">
        <f>SUM(F28:F30)</f>
        <v>0</v>
      </c>
      <c r="G27" s="685">
        <f>SUM(G28:G30)</f>
        <v>0</v>
      </c>
      <c r="H27" s="423">
        <f>SUM(H28:H30)</f>
        <v>0</v>
      </c>
    </row>
    <row r="28" spans="1:8" ht="12.75">
      <c r="A28" s="677" t="s">
        <v>508</v>
      </c>
      <c r="B28" s="686"/>
      <c r="C28" s="686"/>
      <c r="D28" s="625"/>
      <c r="E28" s="625"/>
      <c r="F28" s="625"/>
      <c r="G28" s="625"/>
      <c r="H28" s="615"/>
    </row>
    <row r="29" spans="1:8" ht="12.75">
      <c r="A29" s="677" t="s">
        <v>477</v>
      </c>
      <c r="B29" s="686"/>
      <c r="C29" s="686"/>
      <c r="D29" s="625"/>
      <c r="E29" s="625"/>
      <c r="F29" s="625"/>
      <c r="G29" s="625"/>
      <c r="H29" s="615"/>
    </row>
    <row r="30" spans="1:8" ht="12.75">
      <c r="A30" s="696" t="s">
        <v>478</v>
      </c>
      <c r="B30" s="686"/>
      <c r="C30" s="686"/>
      <c r="D30" s="533"/>
      <c r="E30" s="533"/>
      <c r="F30" s="533"/>
      <c r="G30" s="533"/>
      <c r="H30" s="533"/>
    </row>
    <row r="31" spans="1:8" ht="12.75">
      <c r="A31" s="693" t="s">
        <v>479</v>
      </c>
      <c r="B31" s="686"/>
      <c r="C31" s="686"/>
      <c r="D31" s="533"/>
      <c r="E31" s="533"/>
      <c r="F31" s="533"/>
      <c r="G31" s="533"/>
      <c r="H31" s="533"/>
    </row>
    <row r="32" spans="1:8" ht="13.5" customHeight="1">
      <c r="A32" s="1402" t="s">
        <v>670</v>
      </c>
      <c r="B32" s="1402"/>
      <c r="C32" s="1403"/>
      <c r="D32" s="533"/>
      <c r="E32" s="533"/>
      <c r="F32" s="533"/>
      <c r="G32" s="533"/>
      <c r="H32" s="533"/>
    </row>
    <row r="33" spans="1:8" ht="12.75">
      <c r="A33" s="1402" t="s">
        <v>671</v>
      </c>
      <c r="B33" s="1402"/>
      <c r="C33" s="1403"/>
      <c r="D33" s="533"/>
      <c r="E33" s="533"/>
      <c r="F33" s="533"/>
      <c r="G33" s="533"/>
      <c r="H33" s="533"/>
    </row>
    <row r="34" spans="1:8" ht="24" customHeight="1">
      <c r="A34" s="1405" t="s">
        <v>672</v>
      </c>
      <c r="B34" s="1405"/>
      <c r="C34" s="1406"/>
      <c r="D34" s="533"/>
      <c r="E34" s="533"/>
      <c r="F34" s="533"/>
      <c r="G34" s="533"/>
      <c r="H34" s="533"/>
    </row>
    <row r="35" spans="1:9" ht="16.5" customHeight="1">
      <c r="A35" s="697" t="s">
        <v>480</v>
      </c>
      <c r="B35" s="698"/>
      <c r="C35" s="699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75">
        <f>IF(A7=J21,IF(D35-(F35+H35)&lt;&gt;0,1,0),0)</f>
        <v>0</v>
      </c>
    </row>
    <row r="36" spans="1:8" ht="15.75">
      <c r="A36" s="1404">
        <f>IF(I35=1,"O total das DESPESAS EMPENHADAS deve coreesponder ao somatório das DESPESAS LIQUIDADAS + Inscritas em Restos a Pagar não Processados","")</f>
      </c>
      <c r="B36" s="1404"/>
      <c r="C36" s="1404"/>
      <c r="D36" s="1404"/>
      <c r="E36" s="1404"/>
      <c r="F36" s="1404"/>
      <c r="G36" s="1404"/>
      <c r="H36" s="1404"/>
    </row>
    <row r="37" spans="1:8" ht="22.5" customHeight="1">
      <c r="A37" s="700" t="s">
        <v>673</v>
      </c>
      <c r="B37" s="701"/>
      <c r="C37" s="701"/>
      <c r="D37" s="702">
        <f>D21-D35</f>
        <v>0</v>
      </c>
      <c r="E37" s="702">
        <f>E21-E35</f>
        <v>0</v>
      </c>
      <c r="F37" s="702">
        <f>F21-F35</f>
        <v>0</v>
      </c>
      <c r="G37" s="703">
        <f>G21-G35</f>
        <v>0</v>
      </c>
      <c r="H37" s="703">
        <f>H21-H35</f>
        <v>0</v>
      </c>
    </row>
    <row r="38" spans="1:7" ht="15" customHeight="1">
      <c r="A38" s="863" t="s">
        <v>687</v>
      </c>
      <c r="B38" s="863"/>
      <c r="C38" s="863"/>
      <c r="D38" s="686"/>
      <c r="E38" s="686"/>
      <c r="F38" s="674"/>
      <c r="G38" s="674"/>
    </row>
    <row r="40" spans="1:3" ht="12.75">
      <c r="A40" s="704"/>
      <c r="B40" s="705"/>
      <c r="C40" s="705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A33:C33"/>
    <mergeCell ref="B14:C14"/>
    <mergeCell ref="B15:C15"/>
    <mergeCell ref="B16:C16"/>
    <mergeCell ref="B17:C17"/>
    <mergeCell ref="B18:C18"/>
    <mergeCell ref="B19:C19"/>
    <mergeCell ref="A22:H22"/>
  </mergeCells>
  <conditionalFormatting sqref="A22:H22">
    <cfRule type="expression" priority="3" dxfId="0" stopIfTrue="1">
      <formula>$I$21=1</formula>
    </cfRule>
  </conditionalFormatting>
  <conditionalFormatting sqref="A36:H36">
    <cfRule type="expression" priority="1" dxfId="0" stopIfTrue="1">
      <formula>I35=1</formula>
    </cfRule>
    <cfRule type="expression" priority="2" dxfId="0" stopIfTrue="1">
      <formula>$I$21=1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="130" zoomScaleNormal="130" zoomScalePageLayoutView="0" workbookViewId="0" topLeftCell="A1">
      <selection activeCell="A49" sqref="A49:M49"/>
    </sheetView>
  </sheetViews>
  <sheetFormatPr defaultColWidth="9.140625" defaultRowHeight="11.25" customHeight="1"/>
  <cols>
    <col min="1" max="1" width="32.00390625" style="756" customWidth="1"/>
    <col min="2" max="13" width="9.28125" style="756" customWidth="1"/>
    <col min="14" max="14" width="8.00390625" style="756" customWidth="1"/>
    <col min="15" max="16384" width="9.140625" style="756" customWidth="1"/>
  </cols>
  <sheetData>
    <row r="1" spans="1:14" ht="15.75">
      <c r="A1" s="754" t="s">
        <v>469</v>
      </c>
      <c r="B1" s="755"/>
      <c r="C1" s="755"/>
      <c r="N1" s="757"/>
    </row>
    <row r="2" ht="11.25" customHeight="1">
      <c r="N2" s="757"/>
    </row>
    <row r="3" spans="1:14" ht="11.25" customHeight="1">
      <c r="A3" s="1427" t="str">
        <f>+'Informações Iniciais'!A1:B1</f>
        <v>PODER EXECUTIVO</v>
      </c>
      <c r="B3" s="1427"/>
      <c r="C3" s="1427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758"/>
    </row>
    <row r="4" spans="1:14" ht="11.25" customHeight="1">
      <c r="A4" s="1427" t="s">
        <v>109</v>
      </c>
      <c r="B4" s="1427"/>
      <c r="C4" s="1427"/>
      <c r="D4" s="1427"/>
      <c r="E4" s="1427"/>
      <c r="F4" s="1427"/>
      <c r="G4" s="1427"/>
      <c r="H4" s="1427"/>
      <c r="I4" s="1427"/>
      <c r="J4" s="1427"/>
      <c r="K4" s="1427"/>
      <c r="L4" s="1427"/>
      <c r="M4" s="1427"/>
      <c r="N4" s="758"/>
    </row>
    <row r="5" spans="1:14" ht="11.25" customHeight="1">
      <c r="A5" s="1428" t="s">
        <v>236</v>
      </c>
      <c r="B5" s="1428"/>
      <c r="C5" s="1428"/>
      <c r="D5" s="1428"/>
      <c r="E5" s="1428"/>
      <c r="F5" s="1428"/>
      <c r="G5" s="1428"/>
      <c r="H5" s="1428"/>
      <c r="I5" s="1428"/>
      <c r="J5" s="1428"/>
      <c r="K5" s="1428"/>
      <c r="L5" s="1428"/>
      <c r="M5" s="1428"/>
      <c r="N5" s="758"/>
    </row>
    <row r="6" spans="1:14" ht="11.25" customHeight="1">
      <c r="A6" s="1427" t="s">
        <v>111</v>
      </c>
      <c r="B6" s="1427"/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758"/>
    </row>
    <row r="7" spans="1:14" ht="11.25" customHeight="1">
      <c r="A7" s="1427" t="str">
        <f>+'Informações Iniciais'!A5:B5</f>
        <v>5º Bimestre de 2016</v>
      </c>
      <c r="B7" s="1427"/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758"/>
    </row>
    <row r="8" spans="1:14" ht="15.75">
      <c r="A8" s="1432">
        <f>IF(N8&gt;0,"ERRO!!!  Em alguma linha o saldo 'Até o bimestre' está menor que o valor 'No bimestre'. Verifique!!!","")</f>
      </c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758">
        <f>SUM(N14:N28)</f>
        <v>0</v>
      </c>
    </row>
    <row r="9" spans="1:14" ht="11.25" customHeight="1">
      <c r="A9" s="1453" t="s">
        <v>470</v>
      </c>
      <c r="B9" s="1453"/>
      <c r="C9" s="1453"/>
      <c r="D9" s="1453"/>
      <c r="E9" s="759"/>
      <c r="F9" s="759"/>
      <c r="G9" s="759"/>
      <c r="H9" s="759"/>
      <c r="I9" s="1431"/>
      <c r="J9" s="1431"/>
      <c r="K9" s="1443" t="s">
        <v>519</v>
      </c>
      <c r="L9" s="1443"/>
      <c r="M9" s="1443"/>
      <c r="N9" s="758"/>
    </row>
    <row r="10" spans="1:14" s="762" customFormat="1" ht="11.25" customHeight="1">
      <c r="A10" s="1433" t="s">
        <v>191</v>
      </c>
      <c r="B10" s="1466" t="s">
        <v>238</v>
      </c>
      <c r="C10" s="1467"/>
      <c r="D10" s="1468"/>
      <c r="E10" s="1436" t="s">
        <v>1019</v>
      </c>
      <c r="F10" s="1436"/>
      <c r="G10" s="1436"/>
      <c r="H10" s="1436"/>
      <c r="I10" s="712">
        <v>2016</v>
      </c>
      <c r="J10" s="760"/>
      <c r="K10" s="1478" t="s">
        <v>213</v>
      </c>
      <c r="L10" s="1478"/>
      <c r="M10" s="1479"/>
      <c r="N10" s="761"/>
    </row>
    <row r="11" spans="1:14" s="762" customFormat="1" ht="11.25" customHeight="1">
      <c r="A11" s="1434"/>
      <c r="B11" s="1464" t="s">
        <v>239</v>
      </c>
      <c r="C11" s="1465"/>
      <c r="D11" s="1430"/>
      <c r="E11" s="1437" t="s">
        <v>212</v>
      </c>
      <c r="F11" s="1437"/>
      <c r="G11" s="1438"/>
      <c r="H11" s="1457" t="s">
        <v>237</v>
      </c>
      <c r="I11" s="1437"/>
      <c r="J11" s="1438"/>
      <c r="K11" s="1480"/>
      <c r="L11" s="1480"/>
      <c r="M11" s="1481"/>
      <c r="N11" s="761"/>
    </row>
    <row r="12" spans="1:14" s="762" customFormat="1" ht="11.25" customHeight="1">
      <c r="A12" s="1434"/>
      <c r="B12" s="1464" t="s">
        <v>311</v>
      </c>
      <c r="C12" s="1465"/>
      <c r="D12" s="1430"/>
      <c r="E12" s="1439"/>
      <c r="F12" s="1439"/>
      <c r="G12" s="1440"/>
      <c r="H12" s="1458"/>
      <c r="I12" s="1439"/>
      <c r="J12" s="1440"/>
      <c r="K12" s="1480"/>
      <c r="L12" s="1480"/>
      <c r="M12" s="1481"/>
      <c r="N12" s="761"/>
    </row>
    <row r="13" spans="1:14" s="762" customFormat="1" ht="11.25" customHeight="1">
      <c r="A13" s="1435"/>
      <c r="B13" s="1463" t="s">
        <v>120</v>
      </c>
      <c r="C13" s="1445"/>
      <c r="D13" s="1446"/>
      <c r="E13" s="1441"/>
      <c r="F13" s="1441"/>
      <c r="G13" s="1442"/>
      <c r="H13" s="1444" t="s">
        <v>121</v>
      </c>
      <c r="I13" s="1445"/>
      <c r="J13" s="1446"/>
      <c r="K13" s="1429" t="s">
        <v>214</v>
      </c>
      <c r="L13" s="1429"/>
      <c r="M13" s="1430"/>
      <c r="N13" s="761"/>
    </row>
    <row r="14" spans="1:14" s="762" customFormat="1" ht="11.25" customHeight="1">
      <c r="A14" s="763" t="s">
        <v>215</v>
      </c>
      <c r="B14" s="1447">
        <f>SUM(B15:D17)</f>
        <v>0</v>
      </c>
      <c r="C14" s="1448"/>
      <c r="D14" s="1449"/>
      <c r="E14" s="1447">
        <f>SUM(E15:G17)</f>
        <v>0</v>
      </c>
      <c r="F14" s="1448"/>
      <c r="G14" s="1449"/>
      <c r="H14" s="1447">
        <f>SUM(H15:J17)</f>
        <v>0</v>
      </c>
      <c r="I14" s="1448"/>
      <c r="J14" s="1449"/>
      <c r="K14" s="1447">
        <f>SUM(K15:M17)</f>
        <v>0</v>
      </c>
      <c r="L14" s="1448"/>
      <c r="M14" s="1449"/>
      <c r="N14" s="761">
        <f>IF(E14&gt;H14,1,0)</f>
        <v>0</v>
      </c>
    </row>
    <row r="15" spans="1:14" s="762" customFormat="1" ht="11.25" customHeight="1">
      <c r="A15" s="764" t="s">
        <v>216</v>
      </c>
      <c r="B15" s="1450"/>
      <c r="C15" s="1451"/>
      <c r="D15" s="1452"/>
      <c r="E15" s="1450"/>
      <c r="F15" s="1451"/>
      <c r="G15" s="1452"/>
      <c r="H15" s="1450"/>
      <c r="I15" s="1451"/>
      <c r="J15" s="1452"/>
      <c r="K15" s="1472">
        <f>+B15+H15</f>
        <v>0</v>
      </c>
      <c r="L15" s="1473"/>
      <c r="M15" s="1474"/>
      <c r="N15" s="761"/>
    </row>
    <row r="16" spans="1:14" s="762" customFormat="1" ht="11.25" customHeight="1">
      <c r="A16" s="764" t="s">
        <v>217</v>
      </c>
      <c r="B16" s="1450"/>
      <c r="C16" s="1451"/>
      <c r="D16" s="1452"/>
      <c r="E16" s="1450"/>
      <c r="F16" s="1451"/>
      <c r="G16" s="1452"/>
      <c r="H16" s="1450"/>
      <c r="I16" s="1451"/>
      <c r="J16" s="1452"/>
      <c r="K16" s="1472">
        <f aca="true" t="shared" si="0" ref="K16:K30">+B16+H16</f>
        <v>0</v>
      </c>
      <c r="L16" s="1473"/>
      <c r="M16" s="1474"/>
      <c r="N16" s="761"/>
    </row>
    <row r="17" spans="1:14" s="762" customFormat="1" ht="11.25" customHeight="1">
      <c r="A17" s="764" t="s">
        <v>218</v>
      </c>
      <c r="B17" s="1460"/>
      <c r="C17" s="1461"/>
      <c r="D17" s="1462"/>
      <c r="E17" s="1460"/>
      <c r="F17" s="1461"/>
      <c r="G17" s="1462"/>
      <c r="H17" s="1460"/>
      <c r="I17" s="1461"/>
      <c r="J17" s="1462"/>
      <c r="K17" s="1469">
        <f t="shared" si="0"/>
        <v>0</v>
      </c>
      <c r="L17" s="1470"/>
      <c r="M17" s="1471"/>
      <c r="N17" s="761"/>
    </row>
    <row r="18" spans="1:14" s="762" customFormat="1" ht="11.25" customHeight="1">
      <c r="A18" s="763" t="s">
        <v>219</v>
      </c>
      <c r="B18" s="1447">
        <f>SUM(B19:D21)</f>
        <v>0</v>
      </c>
      <c r="C18" s="1448"/>
      <c r="D18" s="1449"/>
      <c r="E18" s="1447">
        <f>SUM(E19:G21)</f>
        <v>0</v>
      </c>
      <c r="F18" s="1448"/>
      <c r="G18" s="1449"/>
      <c r="H18" s="1447">
        <f>SUM(H19:J21)</f>
        <v>0</v>
      </c>
      <c r="I18" s="1448"/>
      <c r="J18" s="1449"/>
      <c r="K18" s="1447">
        <f t="shared" si="0"/>
        <v>0</v>
      </c>
      <c r="L18" s="1448"/>
      <c r="M18" s="1449"/>
      <c r="N18" s="761">
        <f>IF(E18&gt;H18,1,0)</f>
        <v>0</v>
      </c>
    </row>
    <row r="19" spans="1:14" s="762" customFormat="1" ht="11.25" customHeight="1">
      <c r="A19" s="764" t="s">
        <v>220</v>
      </c>
      <c r="B19" s="1450"/>
      <c r="C19" s="1451"/>
      <c r="D19" s="1452"/>
      <c r="E19" s="1450"/>
      <c r="F19" s="1451"/>
      <c r="G19" s="1452"/>
      <c r="H19" s="1450"/>
      <c r="I19" s="1451"/>
      <c r="J19" s="1452"/>
      <c r="K19" s="1472">
        <f t="shared" si="0"/>
        <v>0</v>
      </c>
      <c r="L19" s="1473"/>
      <c r="M19" s="1474"/>
      <c r="N19" s="761"/>
    </row>
    <row r="20" spans="1:14" s="762" customFormat="1" ht="11.25" customHeight="1">
      <c r="A20" s="764" t="s">
        <v>221</v>
      </c>
      <c r="B20" s="1450"/>
      <c r="C20" s="1451"/>
      <c r="D20" s="1452"/>
      <c r="E20" s="1450"/>
      <c r="F20" s="1451"/>
      <c r="G20" s="1452"/>
      <c r="H20" s="1450"/>
      <c r="I20" s="1451"/>
      <c r="J20" s="1452"/>
      <c r="K20" s="1472">
        <f t="shared" si="0"/>
        <v>0</v>
      </c>
      <c r="L20" s="1473"/>
      <c r="M20" s="1474"/>
      <c r="N20" s="761"/>
    </row>
    <row r="21" spans="1:14" s="762" customFormat="1" ht="11.25" customHeight="1">
      <c r="A21" s="764" t="s">
        <v>222</v>
      </c>
      <c r="B21" s="1460"/>
      <c r="C21" s="1461"/>
      <c r="D21" s="1462"/>
      <c r="E21" s="1460"/>
      <c r="F21" s="1461"/>
      <c r="G21" s="1462"/>
      <c r="H21" s="1460"/>
      <c r="I21" s="1461"/>
      <c r="J21" s="1462"/>
      <c r="K21" s="1469">
        <f t="shared" si="0"/>
        <v>0</v>
      </c>
      <c r="L21" s="1470"/>
      <c r="M21" s="1471"/>
      <c r="N21" s="761"/>
    </row>
    <row r="22" spans="1:14" s="762" customFormat="1" ht="11.25" customHeight="1">
      <c r="A22" s="765" t="s">
        <v>223</v>
      </c>
      <c r="B22" s="1454"/>
      <c r="C22" s="1455"/>
      <c r="D22" s="1456"/>
      <c r="E22" s="1454"/>
      <c r="F22" s="1455"/>
      <c r="G22" s="1456"/>
      <c r="H22" s="1454"/>
      <c r="I22" s="1455"/>
      <c r="J22" s="1456"/>
      <c r="K22" s="1475">
        <f t="shared" si="0"/>
        <v>0</v>
      </c>
      <c r="L22" s="1476"/>
      <c r="M22" s="1477"/>
      <c r="N22" s="761">
        <f>IF(E22&gt;H22,1,0)</f>
        <v>0</v>
      </c>
    </row>
    <row r="23" spans="1:14" s="762" customFormat="1" ht="11.25" customHeight="1">
      <c r="A23" s="766" t="s">
        <v>224</v>
      </c>
      <c r="B23" s="1454"/>
      <c r="C23" s="1455"/>
      <c r="D23" s="1456"/>
      <c r="E23" s="1454"/>
      <c r="F23" s="1455"/>
      <c r="G23" s="1456"/>
      <c r="H23" s="1454"/>
      <c r="I23" s="1455"/>
      <c r="J23" s="1456"/>
      <c r="K23" s="1475">
        <f t="shared" si="0"/>
        <v>0</v>
      </c>
      <c r="L23" s="1476"/>
      <c r="M23" s="1477"/>
      <c r="N23" s="761">
        <f>IF(E23&gt;H23,1,0)</f>
        <v>0</v>
      </c>
    </row>
    <row r="24" spans="1:14" s="762" customFormat="1" ht="11.25" customHeight="1">
      <c r="A24" s="764" t="s">
        <v>225</v>
      </c>
      <c r="B24" s="1447">
        <f>SUM(B25:D27)</f>
        <v>0</v>
      </c>
      <c r="C24" s="1448"/>
      <c r="D24" s="1449"/>
      <c r="E24" s="1447">
        <f>SUM(E25:G27)</f>
        <v>0</v>
      </c>
      <c r="F24" s="1448"/>
      <c r="G24" s="1449"/>
      <c r="H24" s="1447">
        <f>SUM(H25:J27)</f>
        <v>0</v>
      </c>
      <c r="I24" s="1448"/>
      <c r="J24" s="1449"/>
      <c r="K24" s="1447">
        <f t="shared" si="0"/>
        <v>0</v>
      </c>
      <c r="L24" s="1448"/>
      <c r="M24" s="1449"/>
      <c r="N24" s="761">
        <f>IF(E24&gt;H24,1,0)</f>
        <v>0</v>
      </c>
    </row>
    <row r="25" spans="1:14" s="762" customFormat="1" ht="11.25" customHeight="1">
      <c r="A25" s="764" t="s">
        <v>226</v>
      </c>
      <c r="B25" s="1450"/>
      <c r="C25" s="1451"/>
      <c r="D25" s="1452"/>
      <c r="E25" s="1450"/>
      <c r="F25" s="1451"/>
      <c r="G25" s="1452"/>
      <c r="H25" s="1450"/>
      <c r="I25" s="1451"/>
      <c r="J25" s="1452"/>
      <c r="K25" s="1472">
        <f t="shared" si="0"/>
        <v>0</v>
      </c>
      <c r="L25" s="1473"/>
      <c r="M25" s="1474"/>
      <c r="N25" s="761"/>
    </row>
    <row r="26" spans="1:14" s="762" customFormat="1" ht="11.25" customHeight="1">
      <c r="A26" s="764" t="s">
        <v>227</v>
      </c>
      <c r="B26" s="1450"/>
      <c r="C26" s="1451"/>
      <c r="D26" s="1452"/>
      <c r="E26" s="1450"/>
      <c r="F26" s="1451"/>
      <c r="G26" s="1452"/>
      <c r="H26" s="1450"/>
      <c r="I26" s="1451"/>
      <c r="J26" s="1452"/>
      <c r="K26" s="1472">
        <f t="shared" si="0"/>
        <v>0</v>
      </c>
      <c r="L26" s="1473"/>
      <c r="M26" s="1474"/>
      <c r="N26" s="761"/>
    </row>
    <row r="27" spans="1:14" s="762" customFormat="1" ht="11.25" customHeight="1">
      <c r="A27" s="766" t="s">
        <v>228</v>
      </c>
      <c r="B27" s="1460"/>
      <c r="C27" s="1461"/>
      <c r="D27" s="1462"/>
      <c r="E27" s="1460"/>
      <c r="F27" s="1461"/>
      <c r="G27" s="1462"/>
      <c r="H27" s="1460"/>
      <c r="I27" s="1461"/>
      <c r="J27" s="1462"/>
      <c r="K27" s="1469">
        <f t="shared" si="0"/>
        <v>0</v>
      </c>
      <c r="L27" s="1470"/>
      <c r="M27" s="1471"/>
      <c r="N27" s="761"/>
    </row>
    <row r="28" spans="1:14" s="762" customFormat="1" ht="11.25" customHeight="1">
      <c r="A28" s="764" t="s">
        <v>229</v>
      </c>
      <c r="B28" s="1447">
        <f>+B29+B30</f>
        <v>0</v>
      </c>
      <c r="C28" s="1448"/>
      <c r="D28" s="1449"/>
      <c r="E28" s="1447">
        <f>+E29+E30</f>
        <v>0</v>
      </c>
      <c r="F28" s="1448"/>
      <c r="G28" s="1449"/>
      <c r="H28" s="1447">
        <f>+H29+H30</f>
        <v>0</v>
      </c>
      <c r="I28" s="1448"/>
      <c r="J28" s="1449"/>
      <c r="K28" s="1447">
        <f t="shared" si="0"/>
        <v>0</v>
      </c>
      <c r="L28" s="1448"/>
      <c r="M28" s="1449"/>
      <c r="N28" s="761">
        <f>IF(E28&gt;H28,1,0)</f>
        <v>0</v>
      </c>
    </row>
    <row r="29" spans="1:14" s="762" customFormat="1" ht="11.25" customHeight="1">
      <c r="A29" s="764" t="s">
        <v>230</v>
      </c>
      <c r="B29" s="1450"/>
      <c r="C29" s="1451"/>
      <c r="D29" s="1452"/>
      <c r="E29" s="1450"/>
      <c r="F29" s="1451"/>
      <c r="G29" s="1452"/>
      <c r="H29" s="1450"/>
      <c r="I29" s="1451"/>
      <c r="J29" s="1452"/>
      <c r="K29" s="1472">
        <f t="shared" si="0"/>
        <v>0</v>
      </c>
      <c r="L29" s="1473"/>
      <c r="M29" s="1474"/>
      <c r="N29" s="761"/>
    </row>
    <row r="30" spans="1:14" s="762" customFormat="1" ht="11.25" customHeight="1">
      <c r="A30" s="766" t="s">
        <v>231</v>
      </c>
      <c r="B30" s="1460"/>
      <c r="C30" s="1461"/>
      <c r="D30" s="1462"/>
      <c r="E30" s="1460"/>
      <c r="F30" s="1461"/>
      <c r="G30" s="1462"/>
      <c r="H30" s="1460"/>
      <c r="I30" s="1461"/>
      <c r="J30" s="1462"/>
      <c r="K30" s="1469">
        <f t="shared" si="0"/>
        <v>0</v>
      </c>
      <c r="L30" s="1470"/>
      <c r="M30" s="1471"/>
      <c r="N30" s="761"/>
    </row>
    <row r="31" spans="1:14" ht="11.25" customHeight="1">
      <c r="A31" s="1486"/>
      <c r="B31" s="1486"/>
      <c r="C31" s="1486"/>
      <c r="D31" s="1486"/>
      <c r="E31" s="1486"/>
      <c r="F31" s="1486"/>
      <c r="G31" s="1486"/>
      <c r="H31" s="1486"/>
      <c r="I31" s="1486"/>
      <c r="J31" s="1486"/>
      <c r="K31" s="1486"/>
      <c r="L31" s="1486"/>
      <c r="M31" s="1486"/>
      <c r="N31" s="757"/>
    </row>
    <row r="32" spans="1:14" s="769" customFormat="1" ht="11.25" customHeight="1">
      <c r="A32" s="767"/>
      <c r="B32" s="1457" t="s">
        <v>311</v>
      </c>
      <c r="C32" s="1457" t="s">
        <v>1020</v>
      </c>
      <c r="D32" s="1457">
        <f>+C34+1</f>
        <v>2017</v>
      </c>
      <c r="E32" s="1457">
        <f>+D32+1</f>
        <v>2018</v>
      </c>
      <c r="F32" s="1457">
        <f aca="true" t="shared" si="1" ref="F32:M32">+E32+1</f>
        <v>2019</v>
      </c>
      <c r="G32" s="1457">
        <f t="shared" si="1"/>
        <v>2020</v>
      </c>
      <c r="H32" s="1457">
        <f t="shared" si="1"/>
        <v>2021</v>
      </c>
      <c r="I32" s="1457">
        <f t="shared" si="1"/>
        <v>2022</v>
      </c>
      <c r="J32" s="1457">
        <f t="shared" si="1"/>
        <v>2023</v>
      </c>
      <c r="K32" s="1457">
        <f t="shared" si="1"/>
        <v>2024</v>
      </c>
      <c r="L32" s="1457">
        <f t="shared" si="1"/>
        <v>2025</v>
      </c>
      <c r="M32" s="1487">
        <f t="shared" si="1"/>
        <v>2026</v>
      </c>
      <c r="N32" s="768"/>
    </row>
    <row r="33" spans="1:14" ht="11.25" customHeight="1">
      <c r="A33" s="770" t="s">
        <v>232</v>
      </c>
      <c r="B33" s="1458"/>
      <c r="C33" s="1458"/>
      <c r="D33" s="1458"/>
      <c r="E33" s="1458"/>
      <c r="F33" s="1458"/>
      <c r="G33" s="1458"/>
      <c r="H33" s="1458"/>
      <c r="I33" s="1458"/>
      <c r="J33" s="1458"/>
      <c r="K33" s="1458"/>
      <c r="L33" s="1458"/>
      <c r="M33" s="1488"/>
      <c r="N33" s="768"/>
    </row>
    <row r="34" spans="1:14" ht="11.25" customHeight="1">
      <c r="A34" s="771"/>
      <c r="B34" s="1459"/>
      <c r="C34" s="713">
        <v>2016</v>
      </c>
      <c r="D34" s="1459"/>
      <c r="E34" s="1459"/>
      <c r="F34" s="1459"/>
      <c r="G34" s="1459"/>
      <c r="H34" s="1459"/>
      <c r="I34" s="1459"/>
      <c r="J34" s="1459"/>
      <c r="K34" s="1459"/>
      <c r="L34" s="1459"/>
      <c r="M34" s="1489"/>
      <c r="N34" s="768"/>
    </row>
    <row r="35" spans="1:14" ht="11.25" customHeight="1">
      <c r="A35" s="755" t="s">
        <v>233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5"/>
      <c r="L35" s="715"/>
      <c r="M35" s="716"/>
      <c r="N35" s="772"/>
    </row>
    <row r="36" spans="1:14" s="782" customFormat="1" ht="11.25" customHeight="1">
      <c r="A36" s="722"/>
      <c r="B36" s="714"/>
      <c r="C36" s="714"/>
      <c r="D36" s="714"/>
      <c r="E36" s="714"/>
      <c r="F36" s="714"/>
      <c r="G36" s="714"/>
      <c r="H36" s="714"/>
      <c r="I36" s="714"/>
      <c r="J36" s="714"/>
      <c r="K36" s="715"/>
      <c r="L36" s="715"/>
      <c r="M36" s="716"/>
      <c r="N36" s="781"/>
    </row>
    <row r="37" spans="1:14" s="782" customFormat="1" ht="11.25" customHeight="1">
      <c r="A37" s="722"/>
      <c r="B37" s="714"/>
      <c r="C37" s="714"/>
      <c r="D37" s="714"/>
      <c r="E37" s="714"/>
      <c r="F37" s="714"/>
      <c r="G37" s="714"/>
      <c r="H37" s="714"/>
      <c r="I37" s="714"/>
      <c r="J37" s="714"/>
      <c r="K37" s="715"/>
      <c r="L37" s="715"/>
      <c r="M37" s="716"/>
      <c r="N37" s="781"/>
    </row>
    <row r="38" spans="1:14" s="782" customFormat="1" ht="11.25" customHeight="1">
      <c r="A38" s="722"/>
      <c r="B38" s="714"/>
      <c r="C38" s="714"/>
      <c r="D38" s="714"/>
      <c r="E38" s="714"/>
      <c r="F38" s="714"/>
      <c r="G38" s="714"/>
      <c r="H38" s="714"/>
      <c r="I38" s="714"/>
      <c r="J38" s="714"/>
      <c r="K38" s="715"/>
      <c r="L38" s="715"/>
      <c r="M38" s="716"/>
      <c r="N38" s="781"/>
    </row>
    <row r="39" spans="1:14" s="782" customFormat="1" ht="11.25" customHeight="1">
      <c r="A39" s="722"/>
      <c r="B39" s="714"/>
      <c r="C39" s="714"/>
      <c r="D39" s="714"/>
      <c r="E39" s="714"/>
      <c r="F39" s="714"/>
      <c r="G39" s="714"/>
      <c r="H39" s="714"/>
      <c r="I39" s="714"/>
      <c r="J39" s="714"/>
      <c r="K39" s="715"/>
      <c r="L39" s="715"/>
      <c r="M39" s="716"/>
      <c r="N39" s="781"/>
    </row>
    <row r="40" spans="1:14" ht="11.25" customHeight="1">
      <c r="A40" s="755" t="s">
        <v>234</v>
      </c>
      <c r="B40" s="714"/>
      <c r="C40" s="714"/>
      <c r="D40" s="714"/>
      <c r="E40" s="714"/>
      <c r="F40" s="714"/>
      <c r="G40" s="714"/>
      <c r="H40" s="714"/>
      <c r="I40" s="714"/>
      <c r="J40" s="714"/>
      <c r="K40" s="715"/>
      <c r="L40" s="715"/>
      <c r="M40" s="716"/>
      <c r="N40" s="772"/>
    </row>
    <row r="41" spans="1:14" s="782" customFormat="1" ht="11.25" customHeight="1">
      <c r="A41" s="722"/>
      <c r="B41" s="714"/>
      <c r="C41" s="714"/>
      <c r="D41" s="714"/>
      <c r="E41" s="714"/>
      <c r="F41" s="714"/>
      <c r="G41" s="714"/>
      <c r="H41" s="714"/>
      <c r="I41" s="714"/>
      <c r="J41" s="714"/>
      <c r="K41" s="715"/>
      <c r="L41" s="715"/>
      <c r="M41" s="716"/>
      <c r="N41" s="781"/>
    </row>
    <row r="42" spans="1:14" s="782" customFormat="1" ht="11.25" customHeight="1">
      <c r="A42" s="722"/>
      <c r="B42" s="714"/>
      <c r="C42" s="714"/>
      <c r="D42" s="714"/>
      <c r="E42" s="714"/>
      <c r="F42" s="714"/>
      <c r="G42" s="714"/>
      <c r="H42" s="714"/>
      <c r="I42" s="714"/>
      <c r="J42" s="714"/>
      <c r="K42" s="715"/>
      <c r="L42" s="715"/>
      <c r="M42" s="716"/>
      <c r="N42" s="781"/>
    </row>
    <row r="43" spans="1:14" s="782" customFormat="1" ht="11.25" customHeight="1">
      <c r="A43" s="722"/>
      <c r="B43" s="714"/>
      <c r="C43" s="714"/>
      <c r="D43" s="714"/>
      <c r="E43" s="714"/>
      <c r="F43" s="714"/>
      <c r="G43" s="714"/>
      <c r="H43" s="714"/>
      <c r="I43" s="714"/>
      <c r="J43" s="714"/>
      <c r="K43" s="715"/>
      <c r="L43" s="715"/>
      <c r="M43" s="716"/>
      <c r="N43" s="781"/>
    </row>
    <row r="44" spans="1:14" s="782" customFormat="1" ht="11.25" customHeight="1">
      <c r="A44" s="723"/>
      <c r="B44" s="717"/>
      <c r="C44" s="717"/>
      <c r="D44" s="717"/>
      <c r="E44" s="717"/>
      <c r="F44" s="717"/>
      <c r="G44" s="717"/>
      <c r="H44" s="717"/>
      <c r="I44" s="717"/>
      <c r="J44" s="717"/>
      <c r="K44" s="718"/>
      <c r="L44" s="718"/>
      <c r="M44" s="719"/>
      <c r="N44" s="781"/>
    </row>
    <row r="45" spans="1:14" ht="11.25" customHeight="1">
      <c r="A45" s="766" t="s">
        <v>312</v>
      </c>
      <c r="B45" s="773">
        <f aca="true" t="shared" si="2" ref="B45:M45">+B40+B35</f>
        <v>0</v>
      </c>
      <c r="C45" s="773">
        <f t="shared" si="2"/>
        <v>0</v>
      </c>
      <c r="D45" s="773">
        <f t="shared" si="2"/>
        <v>0</v>
      </c>
      <c r="E45" s="773">
        <f t="shared" si="2"/>
        <v>0</v>
      </c>
      <c r="F45" s="773">
        <f t="shared" si="2"/>
        <v>0</v>
      </c>
      <c r="G45" s="773">
        <f t="shared" si="2"/>
        <v>0</v>
      </c>
      <c r="H45" s="773">
        <f t="shared" si="2"/>
        <v>0</v>
      </c>
      <c r="I45" s="773">
        <f t="shared" si="2"/>
        <v>0</v>
      </c>
      <c r="J45" s="773">
        <f t="shared" si="2"/>
        <v>0</v>
      </c>
      <c r="K45" s="773">
        <f t="shared" si="2"/>
        <v>0</v>
      </c>
      <c r="L45" s="773">
        <f t="shared" si="2"/>
        <v>0</v>
      </c>
      <c r="M45" s="774">
        <f t="shared" si="2"/>
        <v>0</v>
      </c>
      <c r="N45" s="772"/>
    </row>
    <row r="46" spans="1:14" ht="11.25" customHeight="1">
      <c r="A46" s="766" t="s">
        <v>313</v>
      </c>
      <c r="B46" s="720"/>
      <c r="C46" s="773">
        <f>IF(N46&gt;0,N46,0)</f>
        <v>23300767.819999997</v>
      </c>
      <c r="D46" s="720"/>
      <c r="E46" s="720"/>
      <c r="F46" s="720"/>
      <c r="G46" s="720"/>
      <c r="H46" s="720"/>
      <c r="I46" s="720"/>
      <c r="J46" s="720"/>
      <c r="K46" s="718"/>
      <c r="L46" s="718"/>
      <c r="M46" s="721"/>
      <c r="N46" s="775">
        <f>+'Anexo 3 - RCL'!N39</f>
        <v>23300767.819999997</v>
      </c>
    </row>
    <row r="47" spans="1:14" ht="11.25" customHeight="1">
      <c r="A47" s="766" t="s">
        <v>314</v>
      </c>
      <c r="B47" s="776">
        <f>IF(B46="",0,IF(B46=0,0,+B45/B46))</f>
        <v>0</v>
      </c>
      <c r="C47" s="776">
        <f aca="true" t="shared" si="3" ref="C47:M47">IF(C46="",0,IF(C46=0,0,+C45/C46))</f>
        <v>0</v>
      </c>
      <c r="D47" s="776">
        <f t="shared" si="3"/>
        <v>0</v>
      </c>
      <c r="E47" s="776">
        <f t="shared" si="3"/>
        <v>0</v>
      </c>
      <c r="F47" s="776">
        <f t="shared" si="3"/>
        <v>0</v>
      </c>
      <c r="G47" s="776">
        <f t="shared" si="3"/>
        <v>0</v>
      </c>
      <c r="H47" s="776">
        <f t="shared" si="3"/>
        <v>0</v>
      </c>
      <c r="I47" s="776">
        <f t="shared" si="3"/>
        <v>0</v>
      </c>
      <c r="J47" s="776">
        <f t="shared" si="3"/>
        <v>0</v>
      </c>
      <c r="K47" s="776">
        <f t="shared" si="3"/>
        <v>0</v>
      </c>
      <c r="L47" s="776">
        <f t="shared" si="3"/>
        <v>0</v>
      </c>
      <c r="M47" s="777">
        <f t="shared" si="3"/>
        <v>0</v>
      </c>
      <c r="N47" s="778"/>
    </row>
    <row r="48" spans="1:14" ht="11.25" customHeight="1">
      <c r="A48" s="1483" t="s">
        <v>235</v>
      </c>
      <c r="B48" s="1484"/>
      <c r="C48" s="1484"/>
      <c r="D48" s="1484"/>
      <c r="E48" s="1484"/>
      <c r="F48" s="1484"/>
      <c r="G48" s="1484"/>
      <c r="H48" s="1484"/>
      <c r="I48" s="1484"/>
      <c r="J48" s="1484"/>
      <c r="K48" s="1484"/>
      <c r="L48" s="1484"/>
      <c r="M48" s="1485"/>
      <c r="N48" s="779"/>
    </row>
    <row r="49" spans="1:14" ht="31.5" customHeight="1">
      <c r="A49" s="1294" t="s">
        <v>518</v>
      </c>
      <c r="B49" s="1294"/>
      <c r="C49" s="1294"/>
      <c r="D49" s="1294"/>
      <c r="E49" s="1294"/>
      <c r="F49" s="1294"/>
      <c r="G49" s="1294"/>
      <c r="H49" s="1294"/>
      <c r="I49" s="1294"/>
      <c r="J49" s="1294"/>
      <c r="K49" s="1294"/>
      <c r="L49" s="1294"/>
      <c r="M49" s="1294"/>
      <c r="N49" s="780"/>
    </row>
    <row r="50" spans="1:13" ht="20.25">
      <c r="A50" s="1482" t="s">
        <v>1021</v>
      </c>
      <c r="B50" s="1482"/>
      <c r="C50" s="1482"/>
      <c r="D50" s="1482"/>
      <c r="E50" s="1482"/>
      <c r="F50" s="1482"/>
      <c r="G50" s="1482"/>
      <c r="H50" s="1482"/>
      <c r="I50" s="1482"/>
      <c r="J50" s="1482"/>
      <c r="K50" s="1482"/>
      <c r="L50" s="1482"/>
      <c r="M50" s="1482"/>
    </row>
  </sheetData>
  <sheetProtection password="C236" sheet="1" objects="1" scenarios="1" formatColumns="0" formatRows="0" insertRows="0"/>
  <mergeCells count="104"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K17:M17"/>
    <mergeCell ref="K18:M18"/>
    <mergeCell ref="H18:J18"/>
    <mergeCell ref="K20:M20"/>
    <mergeCell ref="K21:M21"/>
    <mergeCell ref="H19:J19"/>
    <mergeCell ref="K19:M19"/>
    <mergeCell ref="H25:J25"/>
    <mergeCell ref="H21:J21"/>
    <mergeCell ref="H24:J24"/>
    <mergeCell ref="B24:D24"/>
    <mergeCell ref="H20:J20"/>
    <mergeCell ref="E16:G16"/>
    <mergeCell ref="H17:J17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</mergeCells>
  <conditionalFormatting sqref="A8:M8">
    <cfRule type="expression" priority="1" dxfId="0" stopIfTrue="1">
      <formula>$N$8&gt;0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PageLayoutView="0" workbookViewId="0" topLeftCell="A3">
      <selection activeCell="E77" sqref="E77"/>
    </sheetView>
  </sheetViews>
  <sheetFormatPr defaultColWidth="0.9921875" defaultRowHeight="11.25" customHeight="1"/>
  <cols>
    <col min="1" max="1" width="84.7109375" style="6" customWidth="1"/>
    <col min="2" max="2" width="16.421875" style="6" customWidth="1"/>
    <col min="3" max="3" width="16.421875" style="14" customWidth="1"/>
    <col min="4" max="5" width="16.421875" style="6" customWidth="1"/>
    <col min="6" max="59" width="15.7109375" style="6" customWidth="1"/>
    <col min="60" max="16384" width="0.9921875" style="6" customWidth="1"/>
  </cols>
  <sheetData>
    <row r="1" spans="1:5" ht="15.75">
      <c r="A1" s="1503" t="s">
        <v>471</v>
      </c>
      <c r="B1" s="1503"/>
      <c r="C1" s="1503"/>
      <c r="D1" s="1503"/>
      <c r="E1" s="1503"/>
    </row>
    <row r="2" ht="11.25" customHeight="1">
      <c r="A2" s="12"/>
    </row>
    <row r="3" spans="1:5" ht="11.25" customHeight="1">
      <c r="A3" s="1506" t="str">
        <f>+'Informações Iniciais'!A1</f>
        <v>PODER EXECUTIVO</v>
      </c>
      <c r="B3" s="1506"/>
      <c r="C3" s="1506"/>
      <c r="D3" s="1506"/>
      <c r="E3" s="1506"/>
    </row>
    <row r="4" spans="1:5" ht="11.25" customHeight="1">
      <c r="A4" s="1507" t="s">
        <v>307</v>
      </c>
      <c r="B4" s="1507"/>
      <c r="C4" s="1507"/>
      <c r="D4" s="1507"/>
      <c r="E4" s="1507"/>
    </row>
    <row r="5" spans="1:5" ht="11.25" customHeight="1">
      <c r="A5" s="1506" t="s">
        <v>111</v>
      </c>
      <c r="B5" s="1506"/>
      <c r="C5" s="1506"/>
      <c r="D5" s="1506"/>
      <c r="E5" s="1506"/>
    </row>
    <row r="6" spans="1:5" ht="11.25" customHeight="1">
      <c r="A6" s="1506" t="str">
        <f>+'Informações Iniciais'!A5</f>
        <v>5º Bimestre de 2016</v>
      </c>
      <c r="B6" s="1506"/>
      <c r="C6" s="1506"/>
      <c r="D6" s="1506"/>
      <c r="E6" s="1506"/>
    </row>
    <row r="7" spans="1:5" ht="11.25" customHeight="1">
      <c r="A7" s="2"/>
      <c r="B7" s="2"/>
      <c r="C7" s="2"/>
      <c r="D7" s="2"/>
      <c r="E7" s="2"/>
    </row>
    <row r="8" spans="1:5" ht="11.25" customHeight="1">
      <c r="A8" s="6" t="s">
        <v>7</v>
      </c>
      <c r="B8" s="15"/>
      <c r="E8" s="1" t="s">
        <v>519</v>
      </c>
    </row>
    <row r="9" spans="1:5" s="5" customFormat="1" ht="21" customHeight="1">
      <c r="A9" s="617" t="s">
        <v>110</v>
      </c>
      <c r="B9" s="1501" t="s">
        <v>119</v>
      </c>
      <c r="C9" s="1499"/>
      <c r="D9" s="1499"/>
      <c r="E9" s="1500"/>
    </row>
    <row r="10" spans="1:5" ht="11.25" customHeight="1">
      <c r="A10" s="21" t="s">
        <v>114</v>
      </c>
      <c r="B10" s="1510">
        <f>SUM(B11:E15)</f>
        <v>83525439.48</v>
      </c>
      <c r="C10" s="1511"/>
      <c r="D10" s="1511"/>
      <c r="E10" s="1512"/>
    </row>
    <row r="11" spans="1:5" ht="11.25" customHeight="1">
      <c r="A11" s="7" t="s">
        <v>404</v>
      </c>
      <c r="B11" s="1267">
        <v>32199585</v>
      </c>
      <c r="C11" s="1297"/>
      <c r="D11" s="1297"/>
      <c r="E11" s="1268"/>
    </row>
    <row r="12" spans="1:5" ht="11.25" customHeight="1">
      <c r="A12" s="7" t="s">
        <v>405</v>
      </c>
      <c r="B12" s="1267">
        <v>32199585</v>
      </c>
      <c r="C12" s="1297"/>
      <c r="D12" s="1297"/>
      <c r="E12" s="1268"/>
    </row>
    <row r="13" spans="1:5" ht="11.25" customHeight="1">
      <c r="A13" s="7" t="s">
        <v>64</v>
      </c>
      <c r="B13" s="1267">
        <v>19126269.48</v>
      </c>
      <c r="C13" s="1297"/>
      <c r="D13" s="1297"/>
      <c r="E13" s="1268"/>
    </row>
    <row r="14" spans="1:5" ht="11.25" customHeight="1">
      <c r="A14" s="7" t="s">
        <v>65</v>
      </c>
      <c r="B14" s="1267">
        <v>0</v>
      </c>
      <c r="C14" s="1297"/>
      <c r="D14" s="1297"/>
      <c r="E14" s="1268"/>
    </row>
    <row r="15" spans="1:5" ht="11.25" customHeight="1">
      <c r="A15" s="7" t="s">
        <v>66</v>
      </c>
      <c r="B15" s="1267">
        <v>0</v>
      </c>
      <c r="C15" s="1297"/>
      <c r="D15" s="1297"/>
      <c r="E15" s="1268"/>
    </row>
    <row r="16" spans="1:5" ht="11.25" customHeight="1">
      <c r="A16" s="21" t="s">
        <v>178</v>
      </c>
      <c r="B16" s="1496">
        <f>SUM(B17:E23)</f>
        <v>136623314.06</v>
      </c>
      <c r="C16" s="1497"/>
      <c r="D16" s="1497"/>
      <c r="E16" s="1498"/>
    </row>
    <row r="17" spans="1:5" ht="11.25" customHeight="1">
      <c r="A17" s="3" t="s">
        <v>67</v>
      </c>
      <c r="B17" s="1267">
        <v>32199585</v>
      </c>
      <c r="C17" s="1297"/>
      <c r="D17" s="1297"/>
      <c r="E17" s="1268"/>
    </row>
    <row r="18" spans="1:5" ht="11.25" customHeight="1">
      <c r="A18" s="3" t="s">
        <v>72</v>
      </c>
      <c r="B18" s="1267">
        <v>9937503.12</v>
      </c>
      <c r="C18" s="1297"/>
      <c r="D18" s="1297"/>
      <c r="E18" s="1268"/>
    </row>
    <row r="19" spans="1:5" ht="11.25" customHeight="1">
      <c r="A19" s="3" t="s">
        <v>68</v>
      </c>
      <c r="B19" s="1267">
        <v>42137088.12</v>
      </c>
      <c r="C19" s="1297"/>
      <c r="D19" s="1297"/>
      <c r="E19" s="1268"/>
    </row>
    <row r="20" spans="1:5" ht="11.25" customHeight="1">
      <c r="A20" s="3" t="s">
        <v>69</v>
      </c>
      <c r="B20" s="1267">
        <v>18757910.98</v>
      </c>
      <c r="C20" s="1297"/>
      <c r="D20" s="1297"/>
      <c r="E20" s="1268"/>
    </row>
    <row r="21" spans="1:5" ht="11.25" customHeight="1">
      <c r="A21" s="7" t="s">
        <v>70</v>
      </c>
      <c r="B21" s="1297">
        <v>18038413.36</v>
      </c>
      <c r="C21" s="1297"/>
      <c r="D21" s="1297"/>
      <c r="E21" s="1268"/>
    </row>
    <row r="22" spans="1:5" ht="11.25" customHeight="1">
      <c r="A22" s="3" t="s">
        <v>861</v>
      </c>
      <c r="B22" s="612">
        <v>14464957.36</v>
      </c>
      <c r="C22" s="614"/>
      <c r="D22" s="614"/>
      <c r="E22" s="613"/>
    </row>
    <row r="23" spans="1:5" ht="11.25" customHeight="1">
      <c r="A23" s="9" t="s">
        <v>71</v>
      </c>
      <c r="B23" s="1261">
        <v>1087856.12</v>
      </c>
      <c r="C23" s="1298"/>
      <c r="D23" s="1298"/>
      <c r="E23" s="1262"/>
    </row>
    <row r="24" spans="1:5" s="5" customFormat="1" ht="21" customHeight="1">
      <c r="A24" s="617" t="s">
        <v>310</v>
      </c>
      <c r="B24" s="1508" t="s">
        <v>119</v>
      </c>
      <c r="C24" s="1509"/>
      <c r="D24" s="1509"/>
      <c r="E24" s="1504"/>
    </row>
    <row r="25" spans="1:5" ht="11.25" customHeight="1">
      <c r="A25" s="3" t="s">
        <v>308</v>
      </c>
      <c r="B25" s="1277">
        <v>18757910.98</v>
      </c>
      <c r="C25" s="1502"/>
      <c r="D25" s="1502"/>
      <c r="E25" s="1278"/>
    </row>
    <row r="26" spans="1:5" ht="11.25" customHeight="1">
      <c r="A26" s="11" t="s">
        <v>309</v>
      </c>
      <c r="B26" s="1267">
        <v>18038413.36</v>
      </c>
      <c r="C26" s="1297"/>
      <c r="D26" s="1297"/>
      <c r="E26" s="1268"/>
    </row>
    <row r="27" spans="1:5" s="5" customFormat="1" ht="23.25" customHeight="1">
      <c r="A27" s="620" t="s">
        <v>315</v>
      </c>
      <c r="B27" s="1499" t="s">
        <v>119</v>
      </c>
      <c r="C27" s="1499"/>
      <c r="D27" s="1499"/>
      <c r="E27" s="1500"/>
    </row>
    <row r="28" spans="1:5" ht="11.25" customHeight="1">
      <c r="A28" s="4" t="s">
        <v>316</v>
      </c>
      <c r="B28" s="1490">
        <v>23300767.82</v>
      </c>
      <c r="C28" s="1491"/>
      <c r="D28" s="1491"/>
      <c r="E28" s="1492"/>
    </row>
    <row r="29" spans="1:4" ht="11.25" customHeight="1">
      <c r="A29" s="3"/>
      <c r="B29" s="23"/>
      <c r="C29" s="24"/>
      <c r="D29" s="13"/>
    </row>
    <row r="30" spans="1:5" s="5" customFormat="1" ht="21.75" customHeight="1">
      <c r="A30" s="617" t="s">
        <v>73</v>
      </c>
      <c r="B30" s="1501" t="s">
        <v>119</v>
      </c>
      <c r="C30" s="1499"/>
      <c r="D30" s="1499"/>
      <c r="E30" s="1500"/>
    </row>
    <row r="31" spans="1:5" s="16" customFormat="1" ht="11.25" customHeight="1">
      <c r="A31" s="3" t="s">
        <v>317</v>
      </c>
      <c r="B31" s="1267"/>
      <c r="C31" s="1297"/>
      <c r="D31" s="1297"/>
      <c r="E31" s="1268"/>
    </row>
    <row r="32" spans="1:5" ht="11.25" customHeight="1">
      <c r="A32" s="3" t="s">
        <v>74</v>
      </c>
      <c r="B32" s="1267">
        <v>0</v>
      </c>
      <c r="C32" s="1297"/>
      <c r="D32" s="1297"/>
      <c r="E32" s="1268"/>
    </row>
    <row r="33" spans="1:5" ht="11.25" customHeight="1">
      <c r="A33" s="3" t="s">
        <v>75</v>
      </c>
      <c r="B33" s="1267">
        <v>0</v>
      </c>
      <c r="C33" s="1297"/>
      <c r="D33" s="1297"/>
      <c r="E33" s="1268"/>
    </row>
    <row r="34" spans="1:5" ht="11.25" customHeight="1">
      <c r="A34" s="3" t="s">
        <v>107</v>
      </c>
      <c r="B34" s="1496">
        <f>+B32-B33</f>
        <v>0</v>
      </c>
      <c r="C34" s="1497"/>
      <c r="D34" s="1497"/>
      <c r="E34" s="1498"/>
    </row>
    <row r="35" spans="1:5" ht="11.25" customHeight="1">
      <c r="A35" s="3" t="s">
        <v>406</v>
      </c>
      <c r="B35" s="1267"/>
      <c r="C35" s="1297"/>
      <c r="D35" s="1297"/>
      <c r="E35" s="1268"/>
    </row>
    <row r="36" spans="1:5" ht="11.25" customHeight="1">
      <c r="A36" s="3" t="s">
        <v>76</v>
      </c>
      <c r="B36" s="1267">
        <v>0</v>
      </c>
      <c r="C36" s="1297"/>
      <c r="D36" s="1297"/>
      <c r="E36" s="1268"/>
    </row>
    <row r="37" spans="1:5" ht="11.25" customHeight="1">
      <c r="A37" s="3" t="s">
        <v>77</v>
      </c>
      <c r="B37" s="1267">
        <v>0</v>
      </c>
      <c r="C37" s="1297"/>
      <c r="D37" s="1297"/>
      <c r="E37" s="1268"/>
    </row>
    <row r="38" spans="1:5" ht="11.25" customHeight="1">
      <c r="A38" s="9" t="s">
        <v>108</v>
      </c>
      <c r="B38" s="1493">
        <f>+B36-B37</f>
        <v>0</v>
      </c>
      <c r="C38" s="1494"/>
      <c r="D38" s="1494"/>
      <c r="E38" s="1495"/>
    </row>
    <row r="39" ht="11.25" customHeight="1">
      <c r="E39" s="3"/>
    </row>
    <row r="40" spans="1:5" ht="11.25" customHeight="1">
      <c r="A40" s="1504" t="s">
        <v>323</v>
      </c>
      <c r="B40" s="25" t="s">
        <v>320</v>
      </c>
      <c r="C40" s="25" t="s">
        <v>321</v>
      </c>
      <c r="D40" s="1508" t="s">
        <v>322</v>
      </c>
      <c r="E40" s="1504"/>
    </row>
    <row r="41" spans="1:5" ht="11.25" customHeight="1">
      <c r="A41" s="1534"/>
      <c r="B41" s="27" t="s">
        <v>324</v>
      </c>
      <c r="C41" s="1535" t="s">
        <v>119</v>
      </c>
      <c r="D41" s="1536"/>
      <c r="E41" s="1534"/>
    </row>
    <row r="42" spans="1:5" ht="11.25" customHeight="1">
      <c r="A42" s="1534"/>
      <c r="B42" s="27" t="s">
        <v>325</v>
      </c>
      <c r="C42" s="1535"/>
      <c r="D42" s="1536"/>
      <c r="E42" s="1534"/>
    </row>
    <row r="43" spans="1:5" ht="11.25" customHeight="1">
      <c r="A43" s="1514"/>
      <c r="B43" s="28" t="s">
        <v>120</v>
      </c>
      <c r="C43" s="28" t="s">
        <v>121</v>
      </c>
      <c r="D43" s="1518" t="s">
        <v>122</v>
      </c>
      <c r="E43" s="1519"/>
    </row>
    <row r="44" spans="1:5" ht="11.25" customHeight="1">
      <c r="A44" s="7" t="s">
        <v>326</v>
      </c>
      <c r="B44" s="727">
        <v>0</v>
      </c>
      <c r="C44" s="526">
        <v>0</v>
      </c>
      <c r="D44" s="1532">
        <f>IF(B44="",0,IF(B44=0,0,+C44/B44))</f>
        <v>0</v>
      </c>
      <c r="E44" s="1533"/>
    </row>
    <row r="45" spans="1:5" ht="11.25" customHeight="1">
      <c r="A45" s="11" t="s">
        <v>327</v>
      </c>
      <c r="B45" s="728"/>
      <c r="C45" s="729">
        <v>1159793.29</v>
      </c>
      <c r="D45" s="1530">
        <f>IF(B45="",0,IF(B45=0,0,+C45/B45))</f>
        <v>0</v>
      </c>
      <c r="E45" s="1531"/>
    </row>
    <row r="47" spans="1:5" ht="11.25" customHeight="1">
      <c r="A47" s="1504" t="s">
        <v>78</v>
      </c>
      <c r="B47" s="1537" t="s">
        <v>328</v>
      </c>
      <c r="C47" s="25" t="s">
        <v>329</v>
      </c>
      <c r="D47" s="618" t="s">
        <v>862</v>
      </c>
      <c r="E47" s="25" t="s">
        <v>330</v>
      </c>
    </row>
    <row r="48" spans="1:5" ht="11.25" customHeight="1">
      <c r="A48" s="1505"/>
      <c r="B48" s="1538"/>
      <c r="C48" s="28" t="s">
        <v>119</v>
      </c>
      <c r="D48" s="621" t="s">
        <v>119</v>
      </c>
      <c r="E48" s="28" t="s">
        <v>8</v>
      </c>
    </row>
    <row r="49" spans="1:5" ht="11.25" customHeight="1">
      <c r="A49" s="7" t="s">
        <v>331</v>
      </c>
      <c r="B49" s="724">
        <f>SUM(B50:B53)</f>
        <v>7278230.04</v>
      </c>
      <c r="C49" s="724">
        <f>SUM(C50:C53)</f>
        <v>0</v>
      </c>
      <c r="D49" s="724">
        <f>SUM(D50:D53)</f>
        <v>0</v>
      </c>
      <c r="E49" s="724">
        <f>SUM(E50:E53)</f>
        <v>7278230.04</v>
      </c>
    </row>
    <row r="50" spans="1:5" ht="11.25" customHeight="1">
      <c r="A50" s="7" t="s">
        <v>332</v>
      </c>
      <c r="B50" s="727">
        <v>7278230.04</v>
      </c>
      <c r="C50" s="526"/>
      <c r="D50" s="526"/>
      <c r="E50" s="730">
        <v>7278230.04</v>
      </c>
    </row>
    <row r="51" spans="1:5" ht="11.25" customHeight="1">
      <c r="A51" s="7" t="s">
        <v>333</v>
      </c>
      <c r="B51" s="727"/>
      <c r="C51" s="526"/>
      <c r="D51" s="526"/>
      <c r="E51" s="730"/>
    </row>
    <row r="52" spans="1:5" ht="11.25" customHeight="1">
      <c r="A52" s="7" t="s">
        <v>334</v>
      </c>
      <c r="B52" s="727"/>
      <c r="C52" s="526"/>
      <c r="D52" s="526"/>
      <c r="E52" s="730"/>
    </row>
    <row r="53" spans="1:5" ht="11.25" customHeight="1">
      <c r="A53" s="7" t="s">
        <v>335</v>
      </c>
      <c r="B53" s="727"/>
      <c r="C53" s="526"/>
      <c r="D53" s="526"/>
      <c r="E53" s="730"/>
    </row>
    <row r="54" spans="1:5" ht="11.25" customHeight="1">
      <c r="A54" s="7" t="s">
        <v>336</v>
      </c>
      <c r="B54" s="724">
        <f>SUM(B55:B58)</f>
        <v>0.3</v>
      </c>
      <c r="C54" s="724">
        <f>SUM(C55:C58)</f>
        <v>0</v>
      </c>
      <c r="D54" s="724">
        <f>SUM(D55:D58)</f>
        <v>0</v>
      </c>
      <c r="E54" s="724">
        <f>SUM(E55:E58)</f>
        <v>0.3</v>
      </c>
    </row>
    <row r="55" spans="1:5" ht="11.25" customHeight="1">
      <c r="A55" s="7" t="s">
        <v>332</v>
      </c>
      <c r="B55" s="727">
        <v>0.3</v>
      </c>
      <c r="C55" s="526"/>
      <c r="D55" s="526"/>
      <c r="E55" s="730">
        <v>0.3</v>
      </c>
    </row>
    <row r="56" spans="1:5" ht="11.25" customHeight="1">
      <c r="A56" s="7" t="s">
        <v>333</v>
      </c>
      <c r="B56" s="727"/>
      <c r="C56" s="526"/>
      <c r="D56" s="526"/>
      <c r="E56" s="730"/>
    </row>
    <row r="57" spans="1:5" ht="11.25" customHeight="1">
      <c r="A57" s="7" t="s">
        <v>334</v>
      </c>
      <c r="B57" s="727"/>
      <c r="C57" s="526"/>
      <c r="D57" s="526"/>
      <c r="E57" s="730"/>
    </row>
    <row r="58" spans="1:5" ht="11.25" customHeight="1">
      <c r="A58" s="7" t="s">
        <v>335</v>
      </c>
      <c r="B58" s="727"/>
      <c r="C58" s="526"/>
      <c r="D58" s="729"/>
      <c r="E58" s="731"/>
    </row>
    <row r="59" spans="1:5" ht="11.25" customHeight="1">
      <c r="A59" s="10" t="s">
        <v>188</v>
      </c>
      <c r="B59" s="726">
        <f>+B54+B49</f>
        <v>7278230.34</v>
      </c>
      <c r="C59" s="726">
        <f>+C54+C49</f>
        <v>0</v>
      </c>
      <c r="D59" s="726">
        <f>+D54+D49</f>
        <v>0</v>
      </c>
      <c r="E59" s="726">
        <f>+E54+E49</f>
        <v>7278230.34</v>
      </c>
    </row>
    <row r="60" spans="1:5" ht="11.25" customHeight="1">
      <c r="A60" s="619"/>
      <c r="B60" s="1527" t="s">
        <v>1022</v>
      </c>
      <c r="C60" s="1515" t="s">
        <v>337</v>
      </c>
      <c r="D60" s="1516"/>
      <c r="E60" s="1517"/>
    </row>
    <row r="61" spans="1:5" ht="11.25" customHeight="1">
      <c r="A61" s="26" t="s">
        <v>80</v>
      </c>
      <c r="B61" s="1528"/>
      <c r="C61" s="1527" t="s">
        <v>1024</v>
      </c>
      <c r="D61" s="1508" t="s">
        <v>385</v>
      </c>
      <c r="E61" s="1504"/>
    </row>
    <row r="62" spans="1:5" ht="11.25" customHeight="1">
      <c r="A62" s="622"/>
      <c r="B62" s="1529"/>
      <c r="C62" s="1529"/>
      <c r="D62" s="1513"/>
      <c r="E62" s="1514"/>
    </row>
    <row r="63" spans="1:5" ht="11.25" customHeight="1">
      <c r="A63" s="7" t="s">
        <v>79</v>
      </c>
      <c r="B63" s="730">
        <v>3146276.6</v>
      </c>
      <c r="C63" s="17">
        <v>0.25</v>
      </c>
      <c r="D63" s="1542">
        <v>0.2562</v>
      </c>
      <c r="E63" s="1543"/>
    </row>
    <row r="64" spans="1:5" ht="11.25" customHeight="1" hidden="1">
      <c r="A64" s="7" t="s">
        <v>81</v>
      </c>
      <c r="B64" s="730"/>
      <c r="C64" s="17">
        <v>0.6</v>
      </c>
      <c r="D64" s="1522"/>
      <c r="E64" s="1523"/>
    </row>
    <row r="65" spans="1:5" ht="11.25" customHeight="1">
      <c r="A65" s="7" t="s">
        <v>82</v>
      </c>
      <c r="B65" s="730">
        <v>4592471.77</v>
      </c>
      <c r="C65" s="17">
        <v>0.6</v>
      </c>
      <c r="D65" s="1522">
        <v>0.6292</v>
      </c>
      <c r="E65" s="1523"/>
    </row>
    <row r="66" spans="1:5" ht="11.25" customHeight="1">
      <c r="A66" s="11" t="s">
        <v>83</v>
      </c>
      <c r="B66" s="731"/>
      <c r="C66" s="18" t="s">
        <v>1025</v>
      </c>
      <c r="D66" s="1520"/>
      <c r="E66" s="1521"/>
    </row>
    <row r="67" spans="1:5" s="5" customFormat="1" ht="21.75" customHeight="1">
      <c r="A67" s="623" t="s">
        <v>386</v>
      </c>
      <c r="B67" s="1501" t="s">
        <v>1023</v>
      </c>
      <c r="C67" s="1500"/>
      <c r="D67" s="1501" t="s">
        <v>419</v>
      </c>
      <c r="E67" s="1500"/>
    </row>
    <row r="68" spans="1:5" ht="11.25" customHeight="1">
      <c r="A68" s="8" t="s">
        <v>389</v>
      </c>
      <c r="B68" s="1277">
        <v>0</v>
      </c>
      <c r="C68" s="1278"/>
      <c r="D68" s="1277">
        <v>1045</v>
      </c>
      <c r="E68" s="1278"/>
    </row>
    <row r="69" spans="1:5" ht="11.25" customHeight="1">
      <c r="A69" s="11" t="s">
        <v>390</v>
      </c>
      <c r="B69" s="1261">
        <v>2137880.59</v>
      </c>
      <c r="C69" s="1262"/>
      <c r="D69" s="1261">
        <v>0</v>
      </c>
      <c r="E69" s="1262"/>
    </row>
    <row r="70" spans="1:5" s="5" customFormat="1" ht="21.75" customHeight="1">
      <c r="A70" s="617" t="s">
        <v>391</v>
      </c>
      <c r="B70" s="29" t="s">
        <v>392</v>
      </c>
      <c r="C70" s="30" t="s">
        <v>393</v>
      </c>
      <c r="D70" s="29" t="s">
        <v>394</v>
      </c>
      <c r="E70" s="29" t="s">
        <v>395</v>
      </c>
    </row>
    <row r="71" spans="1:5" ht="11.25" customHeight="1">
      <c r="A71" s="7" t="s">
        <v>317</v>
      </c>
      <c r="B71" s="465">
        <v>0</v>
      </c>
      <c r="C71" s="465">
        <v>0</v>
      </c>
      <c r="D71" s="465">
        <v>0</v>
      </c>
      <c r="E71" s="465">
        <v>0</v>
      </c>
    </row>
    <row r="72" spans="1:5" ht="11.25" customHeight="1">
      <c r="A72" s="7" t="s">
        <v>318</v>
      </c>
      <c r="B72" s="730"/>
      <c r="C72" s="730"/>
      <c r="D72" s="730"/>
      <c r="E72" s="730"/>
    </row>
    <row r="73" spans="1:5" ht="11.25" customHeight="1">
      <c r="A73" s="7" t="s">
        <v>319</v>
      </c>
      <c r="B73" s="730"/>
      <c r="C73" s="730"/>
      <c r="D73" s="730"/>
      <c r="E73" s="730"/>
    </row>
    <row r="74" spans="1:5" ht="11.25" customHeight="1">
      <c r="A74" s="7" t="s">
        <v>107</v>
      </c>
      <c r="B74" s="725">
        <f>+B72-B73</f>
        <v>0</v>
      </c>
      <c r="C74" s="725">
        <f>+C72-C73</f>
        <v>0</v>
      </c>
      <c r="D74" s="725">
        <f>+D72-D73</f>
        <v>0</v>
      </c>
      <c r="E74" s="725">
        <f>+E72-E73</f>
        <v>0</v>
      </c>
    </row>
    <row r="75" spans="1:5" ht="11.25" customHeight="1">
      <c r="A75" s="7" t="s">
        <v>406</v>
      </c>
      <c r="B75" s="730"/>
      <c r="C75" s="730"/>
      <c r="D75" s="730"/>
      <c r="E75" s="730"/>
    </row>
    <row r="76" spans="1:5" ht="11.25" customHeight="1">
      <c r="A76" s="7" t="s">
        <v>9</v>
      </c>
      <c r="B76" s="730"/>
      <c r="C76" s="730"/>
      <c r="D76" s="730"/>
      <c r="E76" s="730"/>
    </row>
    <row r="77" spans="1:5" ht="11.25" customHeight="1">
      <c r="A77" s="7" t="s">
        <v>10</v>
      </c>
      <c r="B77" s="730"/>
      <c r="C77" s="730"/>
      <c r="D77" s="730"/>
      <c r="E77" s="730"/>
    </row>
    <row r="78" spans="1:5" ht="11.25" customHeight="1">
      <c r="A78" s="7" t="s">
        <v>108</v>
      </c>
      <c r="B78" s="725">
        <f>+B76-B77</f>
        <v>0</v>
      </c>
      <c r="C78" s="725">
        <f>+C76-C77</f>
        <v>0</v>
      </c>
      <c r="D78" s="725">
        <f>+D76-D77</f>
        <v>0</v>
      </c>
      <c r="E78" s="725">
        <f>+E76-E77</f>
        <v>0</v>
      </c>
    </row>
    <row r="79" spans="1:5" s="5" customFormat="1" ht="21" customHeight="1">
      <c r="A79" s="617" t="s">
        <v>396</v>
      </c>
      <c r="B79" s="1501" t="s">
        <v>387</v>
      </c>
      <c r="C79" s="1500"/>
      <c r="D79" s="1501" t="s">
        <v>388</v>
      </c>
      <c r="E79" s="1500"/>
    </row>
    <row r="80" spans="1:5" ht="11.25" customHeight="1">
      <c r="A80" s="7" t="s">
        <v>397</v>
      </c>
      <c r="B80" s="1277">
        <v>0</v>
      </c>
      <c r="C80" s="1278"/>
      <c r="D80" s="1277">
        <v>0</v>
      </c>
      <c r="E80" s="1278"/>
    </row>
    <row r="81" spans="1:5" ht="11.25" customHeight="1">
      <c r="A81" s="11" t="s">
        <v>398</v>
      </c>
      <c r="B81" s="1261">
        <v>0</v>
      </c>
      <c r="C81" s="1262"/>
      <c r="D81" s="1261">
        <v>0</v>
      </c>
      <c r="E81" s="1262"/>
    </row>
    <row r="82" spans="1:2" ht="11.25" customHeight="1">
      <c r="A82" s="9"/>
      <c r="B82" s="9"/>
    </row>
    <row r="83" spans="1:5" ht="11.25" customHeight="1">
      <c r="A83" s="1539" t="s">
        <v>298</v>
      </c>
      <c r="B83" s="1527" t="s">
        <v>1022</v>
      </c>
      <c r="C83" s="1515" t="s">
        <v>399</v>
      </c>
      <c r="D83" s="1516"/>
      <c r="E83" s="1517"/>
    </row>
    <row r="84" spans="1:5" ht="11.25" customHeight="1">
      <c r="A84" s="1540"/>
      <c r="B84" s="1528"/>
      <c r="C84" s="1527" t="s">
        <v>1024</v>
      </c>
      <c r="D84" s="1508" t="s">
        <v>385</v>
      </c>
      <c r="E84" s="1504"/>
    </row>
    <row r="85" spans="1:5" ht="11.25" customHeight="1">
      <c r="A85" s="1541"/>
      <c r="B85" s="1529"/>
      <c r="C85" s="1529"/>
      <c r="D85" s="1513"/>
      <c r="E85" s="1514"/>
    </row>
    <row r="86" spans="1:5" ht="11.25" customHeight="1">
      <c r="A86" s="10" t="s">
        <v>643</v>
      </c>
      <c r="B86" s="732">
        <v>1868530.55</v>
      </c>
      <c r="C86" s="733">
        <v>0.15</v>
      </c>
      <c r="D86" s="1524">
        <v>0.1521</v>
      </c>
      <c r="E86" s="1526"/>
    </row>
    <row r="87" spans="1:5" ht="11.25" customHeight="1">
      <c r="A87" s="4"/>
      <c r="B87" s="4"/>
      <c r="C87" s="19"/>
      <c r="D87" s="4"/>
      <c r="E87" s="4"/>
    </row>
    <row r="88" spans="1:5" s="5" customFormat="1" ht="21.75" customHeight="1">
      <c r="A88" s="31" t="s">
        <v>85</v>
      </c>
      <c r="B88" s="1501" t="s">
        <v>84</v>
      </c>
      <c r="C88" s="1499"/>
      <c r="D88" s="1499"/>
      <c r="E88" s="1500"/>
    </row>
    <row r="89" spans="1:5" ht="11.25" customHeight="1">
      <c r="A89" s="20" t="s">
        <v>252</v>
      </c>
      <c r="B89" s="1524">
        <v>0</v>
      </c>
      <c r="C89" s="1525"/>
      <c r="D89" s="1525"/>
      <c r="E89" s="1526"/>
    </row>
    <row r="90" spans="1:21" ht="25.5" customHeight="1">
      <c r="A90" s="1294" t="s">
        <v>518</v>
      </c>
      <c r="B90" s="1294"/>
      <c r="C90" s="1294"/>
      <c r="D90" s="1294"/>
      <c r="E90" s="129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ht="11.25" customHeight="1">
      <c r="A91" s="3"/>
    </row>
  </sheetData>
  <sheetProtection password="C236" sheet="1" objects="1" scenarios="1" formatColumns="0" selectLockedCells="1"/>
  <mergeCells count="70"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  <mergeCell ref="D45:E45"/>
    <mergeCell ref="D44:E44"/>
    <mergeCell ref="A40:A43"/>
    <mergeCell ref="C41:C42"/>
    <mergeCell ref="D40:E42"/>
    <mergeCell ref="B47:B48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rintOptions horizontalCentered="1" verticalCentered="1"/>
  <pageMargins left="0" right="0" top="0" bottom="0" header="0" footer="0"/>
  <pageSetup horizontalDpi="600" verticalDpi="6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94" zoomScaleNormal="94" zoomScalePageLayoutView="0" workbookViewId="0" topLeftCell="A1">
      <selection activeCell="B111" sqref="B111"/>
    </sheetView>
  </sheetViews>
  <sheetFormatPr defaultColWidth="9.140625" defaultRowHeight="11.25" customHeight="1"/>
  <cols>
    <col min="1" max="1" width="47.00390625" style="83" customWidth="1"/>
    <col min="2" max="11" width="13.00390625" style="83" customWidth="1"/>
    <col min="12" max="12" width="22.421875" style="83" customWidth="1"/>
    <col min="13" max="13" width="42.00390625" style="83" customWidth="1"/>
    <col min="14" max="14" width="18.57421875" style="83" customWidth="1"/>
    <col min="15" max="15" width="6.57421875" style="83" customWidth="1"/>
    <col min="16" max="17" width="15.421875" style="83" customWidth="1"/>
    <col min="18" max="18" width="22.00390625" style="83" customWidth="1"/>
    <col min="19" max="19" width="13.421875" style="83" customWidth="1"/>
    <col min="20" max="16384" width="9.140625" style="83" customWidth="1"/>
  </cols>
  <sheetData>
    <row r="1" spans="1:12" ht="15.75">
      <c r="A1" s="221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>
      <c r="A2" s="22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>
      <c r="A3" s="819" t="str">
        <f>+'Informações Iniciais'!A1</f>
        <v>PODER EXECUTIVO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</row>
    <row r="4" spans="1:12" ht="11.25" customHeight="1">
      <c r="A4" s="869" t="s">
        <v>109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4"/>
    </row>
    <row r="5" spans="1:12" ht="11.25" customHeight="1">
      <c r="A5" s="870" t="s">
        <v>110</v>
      </c>
      <c r="B5" s="870"/>
      <c r="C5" s="870"/>
      <c r="D5" s="870"/>
      <c r="E5" s="870"/>
      <c r="F5" s="870"/>
      <c r="G5" s="870"/>
      <c r="H5" s="870"/>
      <c r="I5" s="870"/>
      <c r="J5" s="870"/>
      <c r="K5" s="870"/>
      <c r="L5" s="84"/>
    </row>
    <row r="6" spans="1:12" ht="11.25" customHeight="1">
      <c r="A6" s="871" t="s">
        <v>111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4"/>
    </row>
    <row r="7" spans="1:12" ht="11.25" customHeight="1">
      <c r="A7" s="819" t="str">
        <f>+'Informações Iniciais'!A5</f>
        <v>5º Bimestre de 2016</v>
      </c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</row>
    <row r="8" spans="1:12" ht="11.25" customHeight="1">
      <c r="A8" s="223"/>
      <c r="B8" s="223"/>
      <c r="C8" s="223"/>
      <c r="D8" s="223"/>
      <c r="E8" s="223"/>
      <c r="F8" s="223"/>
      <c r="G8" s="223"/>
      <c r="H8" s="224"/>
      <c r="I8" s="224"/>
      <c r="J8" s="225"/>
      <c r="K8" s="225"/>
      <c r="L8" s="84"/>
    </row>
    <row r="9" spans="1:12" ht="11.25" customHeight="1">
      <c r="A9" s="226" t="s">
        <v>429</v>
      </c>
      <c r="B9" s="42"/>
      <c r="C9" s="42"/>
      <c r="D9" s="42"/>
      <c r="E9" s="227"/>
      <c r="F9" s="42"/>
      <c r="G9" s="42"/>
      <c r="H9" s="203"/>
      <c r="I9" s="225"/>
      <c r="J9" s="202"/>
      <c r="K9" s="84"/>
      <c r="L9" s="202" t="s">
        <v>519</v>
      </c>
    </row>
    <row r="10" spans="1:12" ht="11.25" customHeight="1">
      <c r="A10" s="872" t="s">
        <v>114</v>
      </c>
      <c r="B10" s="851" t="s">
        <v>635</v>
      </c>
      <c r="C10" s="852"/>
      <c r="D10" s="851" t="s">
        <v>281</v>
      </c>
      <c r="E10" s="852"/>
      <c r="F10" s="864" t="s">
        <v>113</v>
      </c>
      <c r="G10" s="865"/>
      <c r="H10" s="865"/>
      <c r="I10" s="865"/>
      <c r="J10" s="865"/>
      <c r="K10" s="866"/>
      <c r="L10" s="877" t="s">
        <v>179</v>
      </c>
    </row>
    <row r="11" spans="1:12" ht="12.75" customHeight="1">
      <c r="A11" s="873"/>
      <c r="B11" s="853"/>
      <c r="C11" s="854"/>
      <c r="D11" s="853"/>
      <c r="E11" s="854"/>
      <c r="F11" s="858" t="s">
        <v>117</v>
      </c>
      <c r="G11" s="859"/>
      <c r="H11" s="229" t="s">
        <v>118</v>
      </c>
      <c r="I11" s="860" t="s">
        <v>119</v>
      </c>
      <c r="J11" s="861"/>
      <c r="K11" s="230" t="s">
        <v>118</v>
      </c>
      <c r="L11" s="878"/>
    </row>
    <row r="12" spans="1:12" ht="11.25" customHeight="1">
      <c r="A12" s="874"/>
      <c r="B12" s="875"/>
      <c r="C12" s="876"/>
      <c r="D12" s="867" t="s">
        <v>120</v>
      </c>
      <c r="E12" s="868"/>
      <c r="F12" s="867" t="s">
        <v>121</v>
      </c>
      <c r="G12" s="868"/>
      <c r="H12" s="231" t="s">
        <v>122</v>
      </c>
      <c r="I12" s="867" t="s">
        <v>171</v>
      </c>
      <c r="J12" s="868"/>
      <c r="K12" s="232" t="s">
        <v>172</v>
      </c>
      <c r="L12" s="233" t="s">
        <v>173</v>
      </c>
    </row>
    <row r="13" spans="1:12" ht="12.75">
      <c r="A13" s="234" t="s">
        <v>430</v>
      </c>
      <c r="B13" s="832">
        <f>+B14+B54</f>
        <v>32199585</v>
      </c>
      <c r="C13" s="833"/>
      <c r="D13" s="832">
        <f>+D14+D54</f>
        <v>32199585</v>
      </c>
      <c r="E13" s="833"/>
      <c r="F13" s="832">
        <f>+F14+F54</f>
        <v>2647316.5</v>
      </c>
      <c r="G13" s="833"/>
      <c r="H13" s="235">
        <f>IF(D13="",0,IF(D13=0,0,+F13/D13))</f>
        <v>0.0822158577509617</v>
      </c>
      <c r="I13" s="832">
        <f>+I14+I54</f>
        <v>19126269.479999997</v>
      </c>
      <c r="J13" s="833"/>
      <c r="K13" s="235">
        <f>IF(D13="",0,IF(D13=0,0,I13/D13))</f>
        <v>0.5939911796999867</v>
      </c>
      <c r="L13" s="236">
        <f>+D13-I13</f>
        <v>13073315.520000003</v>
      </c>
    </row>
    <row r="14" spans="1:12" ht="12.75">
      <c r="A14" s="237" t="s">
        <v>11</v>
      </c>
      <c r="B14" s="815">
        <f>+B15+B19+B23+B31+B35+B40+B41+B48</f>
        <v>30730257</v>
      </c>
      <c r="C14" s="816"/>
      <c r="D14" s="815">
        <f>+D15+D19+D23+D31+D35+D40+D41+D48</f>
        <v>30730257</v>
      </c>
      <c r="E14" s="816"/>
      <c r="F14" s="815">
        <f>+F15+F19+F23+F31+F35+F40+F41+F48</f>
        <v>2647316.5</v>
      </c>
      <c r="G14" s="816"/>
      <c r="H14" s="238">
        <f aca="true" t="shared" si="0" ref="H14:H77">IF(D14="",0,IF(D14=0,0,+F14/D14))</f>
        <v>0.08614690401059777</v>
      </c>
      <c r="I14" s="815">
        <f>+I15+I19+I23+I31+I35+I40+I41+I48</f>
        <v>19041104.4</v>
      </c>
      <c r="J14" s="816"/>
      <c r="K14" s="238">
        <f aca="true" t="shared" si="1" ref="K14:K74">IF(D14="",0,IF(D14=0,0,I14/D14))</f>
        <v>0.6196207340537373</v>
      </c>
      <c r="L14" s="239">
        <f aca="true" t="shared" si="2" ref="L14:L77">+D14-I14</f>
        <v>11689152.600000001</v>
      </c>
    </row>
    <row r="15" spans="1:12" ht="12.75">
      <c r="A15" s="49" t="s">
        <v>12</v>
      </c>
      <c r="B15" s="828">
        <f>SUM(B16:C18)</f>
        <v>4700650</v>
      </c>
      <c r="C15" s="829"/>
      <c r="D15" s="828">
        <f>SUM(D16:E18)</f>
        <v>4700650</v>
      </c>
      <c r="E15" s="829"/>
      <c r="F15" s="828">
        <f>SUM(F16:G18)</f>
        <v>411.7</v>
      </c>
      <c r="G15" s="829"/>
      <c r="H15" s="240">
        <f t="shared" si="0"/>
        <v>8.758363205088658E-05</v>
      </c>
      <c r="I15" s="828">
        <f>SUM(I16:J18)</f>
        <v>3054604.17</v>
      </c>
      <c r="J15" s="829"/>
      <c r="K15" s="240">
        <f t="shared" si="1"/>
        <v>0.6498259113101379</v>
      </c>
      <c r="L15" s="241">
        <f t="shared" si="2"/>
        <v>1646045.83</v>
      </c>
    </row>
    <row r="16" spans="1:12" ht="12.75">
      <c r="A16" s="51" t="s">
        <v>13</v>
      </c>
      <c r="B16" s="826">
        <v>4682885</v>
      </c>
      <c r="C16" s="827"/>
      <c r="D16" s="826">
        <v>4682885</v>
      </c>
      <c r="E16" s="827"/>
      <c r="F16" s="826">
        <v>411.7</v>
      </c>
      <c r="G16" s="827"/>
      <c r="H16" s="62">
        <f t="shared" si="0"/>
        <v>8.791588945703343E-05</v>
      </c>
      <c r="I16" s="826">
        <v>3054594.92</v>
      </c>
      <c r="J16" s="827"/>
      <c r="K16" s="62">
        <f t="shared" si="1"/>
        <v>0.6522891166449741</v>
      </c>
      <c r="L16" s="191">
        <f t="shared" si="2"/>
        <v>1628290.08</v>
      </c>
    </row>
    <row r="17" spans="1:12" ht="12.75">
      <c r="A17" s="51" t="s">
        <v>14</v>
      </c>
      <c r="B17" s="826">
        <v>16720</v>
      </c>
      <c r="C17" s="827"/>
      <c r="D17" s="826">
        <v>16720</v>
      </c>
      <c r="E17" s="827"/>
      <c r="F17" s="826">
        <v>0</v>
      </c>
      <c r="G17" s="827"/>
      <c r="H17" s="62">
        <f t="shared" si="0"/>
        <v>0</v>
      </c>
      <c r="I17" s="826">
        <v>9.25</v>
      </c>
      <c r="J17" s="827"/>
      <c r="K17" s="62">
        <f t="shared" si="1"/>
        <v>0.0005532296650717704</v>
      </c>
      <c r="L17" s="191">
        <f t="shared" si="2"/>
        <v>16710.75</v>
      </c>
    </row>
    <row r="18" spans="1:12" ht="12.75">
      <c r="A18" s="51" t="s">
        <v>15</v>
      </c>
      <c r="B18" s="826">
        <v>1045</v>
      </c>
      <c r="C18" s="827"/>
      <c r="D18" s="826">
        <v>1045</v>
      </c>
      <c r="E18" s="827"/>
      <c r="F18" s="826">
        <v>0</v>
      </c>
      <c r="G18" s="827"/>
      <c r="H18" s="62">
        <f t="shared" si="0"/>
        <v>0</v>
      </c>
      <c r="I18" s="826">
        <v>0</v>
      </c>
      <c r="J18" s="827"/>
      <c r="K18" s="62">
        <f t="shared" si="1"/>
        <v>0</v>
      </c>
      <c r="L18" s="191">
        <f t="shared" si="2"/>
        <v>1045</v>
      </c>
    </row>
    <row r="19" spans="1:12" ht="12.75">
      <c r="A19" s="49" t="s">
        <v>16</v>
      </c>
      <c r="B19" s="828">
        <f>SUM(B20:C22)</f>
        <v>252890</v>
      </c>
      <c r="C19" s="829"/>
      <c r="D19" s="828">
        <f>SUM(D20:E22)</f>
        <v>252890</v>
      </c>
      <c r="E19" s="829"/>
      <c r="F19" s="828">
        <f>SUM(F20:G22)</f>
        <v>0</v>
      </c>
      <c r="G19" s="829"/>
      <c r="H19" s="240">
        <f t="shared" si="0"/>
        <v>0</v>
      </c>
      <c r="I19" s="828">
        <f>SUM(I20:J22)</f>
        <v>108079.28</v>
      </c>
      <c r="J19" s="829"/>
      <c r="K19" s="240">
        <f t="shared" si="1"/>
        <v>0.42737664597255726</v>
      </c>
      <c r="L19" s="241">
        <f t="shared" si="2"/>
        <v>144810.72</v>
      </c>
    </row>
    <row r="20" spans="1:12" ht="12.75">
      <c r="A20" s="51" t="s">
        <v>17</v>
      </c>
      <c r="B20" s="826">
        <v>1045</v>
      </c>
      <c r="C20" s="827"/>
      <c r="D20" s="826">
        <v>1045</v>
      </c>
      <c r="E20" s="827"/>
      <c r="F20" s="826">
        <v>0</v>
      </c>
      <c r="G20" s="827"/>
      <c r="H20" s="62">
        <f t="shared" si="0"/>
        <v>0</v>
      </c>
      <c r="I20" s="826">
        <v>0</v>
      </c>
      <c r="J20" s="827"/>
      <c r="K20" s="62">
        <f t="shared" si="1"/>
        <v>0</v>
      </c>
      <c r="L20" s="191">
        <f t="shared" si="2"/>
        <v>1045</v>
      </c>
    </row>
    <row r="21" spans="1:12" ht="12.75">
      <c r="A21" s="51" t="s">
        <v>427</v>
      </c>
      <c r="B21" s="826">
        <v>1045</v>
      </c>
      <c r="C21" s="827"/>
      <c r="D21" s="826">
        <v>1045</v>
      </c>
      <c r="E21" s="827"/>
      <c r="F21" s="826">
        <v>0</v>
      </c>
      <c r="G21" s="827"/>
      <c r="H21" s="62">
        <f t="shared" si="0"/>
        <v>0</v>
      </c>
      <c r="I21" s="826">
        <v>0</v>
      </c>
      <c r="J21" s="827"/>
      <c r="K21" s="62">
        <f t="shared" si="1"/>
        <v>0</v>
      </c>
      <c r="L21" s="191">
        <f t="shared" si="2"/>
        <v>1045</v>
      </c>
    </row>
    <row r="22" spans="1:12" ht="12.75">
      <c r="A22" s="51" t="s">
        <v>428</v>
      </c>
      <c r="B22" s="826">
        <v>250800</v>
      </c>
      <c r="C22" s="827"/>
      <c r="D22" s="826">
        <v>250800</v>
      </c>
      <c r="E22" s="827"/>
      <c r="F22" s="826">
        <v>0</v>
      </c>
      <c r="G22" s="827"/>
      <c r="H22" s="62">
        <f t="shared" si="0"/>
        <v>0</v>
      </c>
      <c r="I22" s="826">
        <v>108079.28</v>
      </c>
      <c r="J22" s="827"/>
      <c r="K22" s="62">
        <f t="shared" si="1"/>
        <v>0.43093811802232856</v>
      </c>
      <c r="L22" s="191">
        <f t="shared" si="2"/>
        <v>142720.72</v>
      </c>
    </row>
    <row r="23" spans="1:12" ht="12.75">
      <c r="A23" s="49" t="s">
        <v>18</v>
      </c>
      <c r="B23" s="828">
        <f>SUM(B24:C30)</f>
        <v>77330</v>
      </c>
      <c r="C23" s="829"/>
      <c r="D23" s="828">
        <f>SUM(D24:E30)</f>
        <v>77330</v>
      </c>
      <c r="E23" s="829"/>
      <c r="F23" s="828">
        <f>SUM(F24:G30)</f>
        <v>0</v>
      </c>
      <c r="G23" s="829"/>
      <c r="H23" s="240">
        <f t="shared" si="0"/>
        <v>0</v>
      </c>
      <c r="I23" s="828">
        <f>SUM(I24:J30)</f>
        <v>21832.22</v>
      </c>
      <c r="J23" s="829"/>
      <c r="K23" s="240">
        <f t="shared" si="1"/>
        <v>0.28232535885167465</v>
      </c>
      <c r="L23" s="241">
        <f t="shared" si="2"/>
        <v>55497.78</v>
      </c>
    </row>
    <row r="24" spans="1:12" ht="12.75">
      <c r="A24" s="51" t="s">
        <v>19</v>
      </c>
      <c r="B24" s="826">
        <v>1045</v>
      </c>
      <c r="C24" s="827"/>
      <c r="D24" s="826">
        <v>1045</v>
      </c>
      <c r="E24" s="827"/>
      <c r="F24" s="826">
        <v>0</v>
      </c>
      <c r="G24" s="827"/>
      <c r="H24" s="62">
        <f t="shared" si="0"/>
        <v>0</v>
      </c>
      <c r="I24" s="826">
        <v>0</v>
      </c>
      <c r="J24" s="827"/>
      <c r="K24" s="62">
        <f t="shared" si="1"/>
        <v>0</v>
      </c>
      <c r="L24" s="191">
        <f t="shared" si="2"/>
        <v>1045</v>
      </c>
    </row>
    <row r="25" spans="1:12" ht="12.75">
      <c r="A25" s="51" t="s">
        <v>20</v>
      </c>
      <c r="B25" s="826">
        <v>74195</v>
      </c>
      <c r="C25" s="827"/>
      <c r="D25" s="826">
        <v>74195</v>
      </c>
      <c r="E25" s="827"/>
      <c r="F25" s="826">
        <v>0</v>
      </c>
      <c r="G25" s="827"/>
      <c r="H25" s="62">
        <f t="shared" si="0"/>
        <v>0</v>
      </c>
      <c r="I25" s="826">
        <v>21832.22</v>
      </c>
      <c r="J25" s="827"/>
      <c r="K25" s="62">
        <f t="shared" si="1"/>
        <v>0.29425459936653414</v>
      </c>
      <c r="L25" s="191">
        <f t="shared" si="2"/>
        <v>52362.78</v>
      </c>
    </row>
    <row r="26" spans="1:12" ht="12.75">
      <c r="A26" s="51" t="s">
        <v>21</v>
      </c>
      <c r="B26" s="826">
        <v>1045</v>
      </c>
      <c r="C26" s="827"/>
      <c r="D26" s="826">
        <v>1045</v>
      </c>
      <c r="E26" s="827"/>
      <c r="F26" s="826">
        <v>0</v>
      </c>
      <c r="G26" s="827"/>
      <c r="H26" s="62">
        <f t="shared" si="0"/>
        <v>0</v>
      </c>
      <c r="I26" s="826">
        <v>0</v>
      </c>
      <c r="J26" s="827"/>
      <c r="K26" s="62">
        <f t="shared" si="1"/>
        <v>0</v>
      </c>
      <c r="L26" s="191">
        <f t="shared" si="2"/>
        <v>1045</v>
      </c>
    </row>
    <row r="27" spans="1:12" ht="12.75">
      <c r="A27" s="51" t="s">
        <v>123</v>
      </c>
      <c r="B27" s="826">
        <v>0</v>
      </c>
      <c r="C27" s="827"/>
      <c r="D27" s="826">
        <v>0</v>
      </c>
      <c r="E27" s="827"/>
      <c r="F27" s="826">
        <v>0</v>
      </c>
      <c r="G27" s="827"/>
      <c r="H27" s="62">
        <f t="shared" si="0"/>
        <v>0</v>
      </c>
      <c r="I27" s="826">
        <v>0</v>
      </c>
      <c r="J27" s="827"/>
      <c r="K27" s="62">
        <f t="shared" si="1"/>
        <v>0</v>
      </c>
      <c r="L27" s="191">
        <f t="shared" si="2"/>
        <v>0</v>
      </c>
    </row>
    <row r="28" spans="1:12" ht="25.5">
      <c r="A28" s="242" t="s">
        <v>460</v>
      </c>
      <c r="B28" s="840">
        <v>0</v>
      </c>
      <c r="C28" s="841"/>
      <c r="D28" s="840">
        <v>0</v>
      </c>
      <c r="E28" s="841"/>
      <c r="F28" s="840">
        <v>0</v>
      </c>
      <c r="G28" s="841"/>
      <c r="H28" s="243">
        <f t="shared" si="0"/>
        <v>0</v>
      </c>
      <c r="I28" s="840">
        <v>0</v>
      </c>
      <c r="J28" s="841"/>
      <c r="K28" s="243">
        <f t="shared" si="1"/>
        <v>0</v>
      </c>
      <c r="L28" s="174">
        <f t="shared" si="2"/>
        <v>0</v>
      </c>
    </row>
    <row r="29" spans="1:12" ht="12.75">
      <c r="A29" s="244" t="s">
        <v>461</v>
      </c>
      <c r="B29" s="826">
        <v>0</v>
      </c>
      <c r="C29" s="827"/>
      <c r="D29" s="826">
        <v>0</v>
      </c>
      <c r="E29" s="827"/>
      <c r="F29" s="826">
        <v>0</v>
      </c>
      <c r="G29" s="827"/>
      <c r="H29" s="62">
        <f t="shared" si="0"/>
        <v>0</v>
      </c>
      <c r="I29" s="826">
        <v>0</v>
      </c>
      <c r="J29" s="827"/>
      <c r="K29" s="62">
        <f t="shared" si="1"/>
        <v>0</v>
      </c>
      <c r="L29" s="191">
        <f t="shared" si="2"/>
        <v>0</v>
      </c>
    </row>
    <row r="30" spans="1:12" ht="12.75">
      <c r="A30" s="51" t="s">
        <v>22</v>
      </c>
      <c r="B30" s="826">
        <v>1045</v>
      </c>
      <c r="C30" s="827"/>
      <c r="D30" s="826">
        <v>1045</v>
      </c>
      <c r="E30" s="827"/>
      <c r="F30" s="826">
        <v>0</v>
      </c>
      <c r="G30" s="827"/>
      <c r="H30" s="62">
        <f t="shared" si="0"/>
        <v>0</v>
      </c>
      <c r="I30" s="826">
        <v>0</v>
      </c>
      <c r="J30" s="827"/>
      <c r="K30" s="62">
        <f t="shared" si="1"/>
        <v>0</v>
      </c>
      <c r="L30" s="191">
        <f t="shared" si="2"/>
        <v>1045</v>
      </c>
    </row>
    <row r="31" spans="1:12" ht="12.75">
      <c r="A31" s="49" t="s">
        <v>23</v>
      </c>
      <c r="B31" s="828">
        <f>SUM(B32:C34)</f>
        <v>3135</v>
      </c>
      <c r="C31" s="829"/>
      <c r="D31" s="828">
        <f>SUM(D32:E34)</f>
        <v>3135</v>
      </c>
      <c r="E31" s="829"/>
      <c r="F31" s="828">
        <f>SUM(F32:G34)</f>
        <v>0</v>
      </c>
      <c r="G31" s="829"/>
      <c r="H31" s="240">
        <f t="shared" si="0"/>
        <v>0</v>
      </c>
      <c r="I31" s="828">
        <f>SUM(I32:J34)</f>
        <v>0</v>
      </c>
      <c r="J31" s="829"/>
      <c r="K31" s="240">
        <f t="shared" si="1"/>
        <v>0</v>
      </c>
      <c r="L31" s="241">
        <f t="shared" si="2"/>
        <v>3135</v>
      </c>
    </row>
    <row r="32" spans="1:12" ht="12.75">
      <c r="A32" s="51" t="s">
        <v>24</v>
      </c>
      <c r="B32" s="826">
        <v>1045</v>
      </c>
      <c r="C32" s="827"/>
      <c r="D32" s="826">
        <v>1045</v>
      </c>
      <c r="E32" s="827"/>
      <c r="F32" s="826">
        <v>0</v>
      </c>
      <c r="G32" s="827"/>
      <c r="H32" s="62">
        <f t="shared" si="0"/>
        <v>0</v>
      </c>
      <c r="I32" s="826">
        <v>0</v>
      </c>
      <c r="J32" s="827"/>
      <c r="K32" s="62">
        <f t="shared" si="1"/>
        <v>0</v>
      </c>
      <c r="L32" s="191">
        <f t="shared" si="2"/>
        <v>1045</v>
      </c>
    </row>
    <row r="33" spans="1:12" ht="12.75">
      <c r="A33" s="51" t="s">
        <v>25</v>
      </c>
      <c r="B33" s="826">
        <v>1045</v>
      </c>
      <c r="C33" s="827"/>
      <c r="D33" s="826">
        <v>1045</v>
      </c>
      <c r="E33" s="827"/>
      <c r="F33" s="826">
        <v>0</v>
      </c>
      <c r="G33" s="827"/>
      <c r="H33" s="62">
        <f t="shared" si="0"/>
        <v>0</v>
      </c>
      <c r="I33" s="826">
        <v>0</v>
      </c>
      <c r="J33" s="827"/>
      <c r="K33" s="62">
        <f t="shared" si="1"/>
        <v>0</v>
      </c>
      <c r="L33" s="191">
        <f t="shared" si="2"/>
        <v>1045</v>
      </c>
    </row>
    <row r="34" spans="1:12" ht="12.75">
      <c r="A34" s="51" t="s">
        <v>26</v>
      </c>
      <c r="B34" s="826">
        <v>1045</v>
      </c>
      <c r="C34" s="827"/>
      <c r="D34" s="826">
        <v>1045</v>
      </c>
      <c r="E34" s="827"/>
      <c r="F34" s="826">
        <v>0</v>
      </c>
      <c r="G34" s="827"/>
      <c r="H34" s="62">
        <f t="shared" si="0"/>
        <v>0</v>
      </c>
      <c r="I34" s="826">
        <v>0</v>
      </c>
      <c r="J34" s="827"/>
      <c r="K34" s="62">
        <f t="shared" si="1"/>
        <v>0</v>
      </c>
      <c r="L34" s="191">
        <f t="shared" si="2"/>
        <v>1045</v>
      </c>
    </row>
    <row r="35" spans="1:12" ht="12.75">
      <c r="A35" s="49" t="s">
        <v>27</v>
      </c>
      <c r="B35" s="828">
        <f>SUM(B36:C39)</f>
        <v>2090</v>
      </c>
      <c r="C35" s="829"/>
      <c r="D35" s="828">
        <f>SUM(D36:E39)</f>
        <v>2090</v>
      </c>
      <c r="E35" s="829"/>
      <c r="F35" s="828">
        <f>SUM(F36:G39)</f>
        <v>0</v>
      </c>
      <c r="G35" s="829"/>
      <c r="H35" s="240">
        <f t="shared" si="0"/>
        <v>0</v>
      </c>
      <c r="I35" s="828">
        <f>SUM(I36:J39)</f>
        <v>0</v>
      </c>
      <c r="J35" s="829"/>
      <c r="K35" s="240">
        <f t="shared" si="1"/>
        <v>0</v>
      </c>
      <c r="L35" s="241">
        <f t="shared" si="2"/>
        <v>2090</v>
      </c>
    </row>
    <row r="36" spans="1:12" ht="12.75">
      <c r="A36" s="51" t="s">
        <v>462</v>
      </c>
      <c r="B36" s="826">
        <v>0</v>
      </c>
      <c r="C36" s="827"/>
      <c r="D36" s="826">
        <v>0</v>
      </c>
      <c r="E36" s="827"/>
      <c r="F36" s="826">
        <v>0</v>
      </c>
      <c r="G36" s="827"/>
      <c r="H36" s="62">
        <f t="shared" si="0"/>
        <v>0</v>
      </c>
      <c r="I36" s="826">
        <v>0</v>
      </c>
      <c r="J36" s="827"/>
      <c r="K36" s="62">
        <f t="shared" si="1"/>
        <v>0</v>
      </c>
      <c r="L36" s="191">
        <f t="shared" si="2"/>
        <v>0</v>
      </c>
    </row>
    <row r="37" spans="1:12" ht="12.75">
      <c r="A37" s="51" t="s">
        <v>28</v>
      </c>
      <c r="B37" s="826">
        <v>1045</v>
      </c>
      <c r="C37" s="827"/>
      <c r="D37" s="826">
        <v>1045</v>
      </c>
      <c r="E37" s="827"/>
      <c r="F37" s="826">
        <v>0</v>
      </c>
      <c r="G37" s="827"/>
      <c r="H37" s="62">
        <f t="shared" si="0"/>
        <v>0</v>
      </c>
      <c r="I37" s="826">
        <v>0</v>
      </c>
      <c r="J37" s="827"/>
      <c r="K37" s="62">
        <f t="shared" si="1"/>
        <v>0</v>
      </c>
      <c r="L37" s="191">
        <f t="shared" si="2"/>
        <v>1045</v>
      </c>
    </row>
    <row r="38" spans="1:12" ht="12.75">
      <c r="A38" s="51" t="s">
        <v>29</v>
      </c>
      <c r="B38" s="826">
        <v>1045</v>
      </c>
      <c r="C38" s="827"/>
      <c r="D38" s="826">
        <v>1045</v>
      </c>
      <c r="E38" s="827"/>
      <c r="F38" s="826">
        <v>0</v>
      </c>
      <c r="G38" s="827"/>
      <c r="H38" s="62">
        <f t="shared" si="0"/>
        <v>0</v>
      </c>
      <c r="I38" s="826">
        <v>0</v>
      </c>
      <c r="J38" s="827"/>
      <c r="K38" s="62">
        <f t="shared" si="1"/>
        <v>0</v>
      </c>
      <c r="L38" s="191">
        <f t="shared" si="2"/>
        <v>1045</v>
      </c>
    </row>
    <row r="39" spans="1:12" ht="12.75">
      <c r="A39" s="245" t="s">
        <v>30</v>
      </c>
      <c r="B39" s="826">
        <v>0</v>
      </c>
      <c r="C39" s="827"/>
      <c r="D39" s="826">
        <v>0</v>
      </c>
      <c r="E39" s="827"/>
      <c r="F39" s="826">
        <v>0</v>
      </c>
      <c r="G39" s="827"/>
      <c r="H39" s="62">
        <f t="shared" si="0"/>
        <v>0</v>
      </c>
      <c r="I39" s="826">
        <v>0</v>
      </c>
      <c r="J39" s="827"/>
      <c r="K39" s="62">
        <f t="shared" si="1"/>
        <v>0</v>
      </c>
      <c r="L39" s="191">
        <f t="shared" si="2"/>
        <v>0</v>
      </c>
    </row>
    <row r="40" spans="1:12" ht="12.75">
      <c r="A40" s="49" t="s">
        <v>31</v>
      </c>
      <c r="B40" s="826">
        <v>5225</v>
      </c>
      <c r="C40" s="827"/>
      <c r="D40" s="826">
        <v>5225</v>
      </c>
      <c r="E40" s="827"/>
      <c r="F40" s="826">
        <v>0</v>
      </c>
      <c r="G40" s="827"/>
      <c r="H40" s="240">
        <f t="shared" si="0"/>
        <v>0</v>
      </c>
      <c r="I40" s="826">
        <v>0</v>
      </c>
      <c r="J40" s="827"/>
      <c r="K40" s="240">
        <f t="shared" si="1"/>
        <v>0</v>
      </c>
      <c r="L40" s="241">
        <f t="shared" si="2"/>
        <v>5225</v>
      </c>
    </row>
    <row r="41" spans="1:12" ht="12.75">
      <c r="A41" s="49" t="s">
        <v>32</v>
      </c>
      <c r="B41" s="828">
        <f>SUM(B42:C47)</f>
        <v>25682667</v>
      </c>
      <c r="C41" s="829"/>
      <c r="D41" s="828">
        <f>SUM(D42:E47)</f>
        <v>25682667</v>
      </c>
      <c r="E41" s="829"/>
      <c r="F41" s="828">
        <f>SUM(F42:G47)</f>
        <v>2646904.8</v>
      </c>
      <c r="G41" s="829"/>
      <c r="H41" s="240">
        <f t="shared" si="0"/>
        <v>0.10306191331297485</v>
      </c>
      <c r="I41" s="828">
        <f>SUM(I42:J47)</f>
        <v>15856588.73</v>
      </c>
      <c r="J41" s="829"/>
      <c r="K41" s="240">
        <f t="shared" si="1"/>
        <v>0.6174042878802268</v>
      </c>
      <c r="L41" s="241">
        <f t="shared" si="2"/>
        <v>9826078.27</v>
      </c>
    </row>
    <row r="42" spans="1:12" ht="12.75">
      <c r="A42" s="51" t="s">
        <v>33</v>
      </c>
      <c r="B42" s="826">
        <v>20556942</v>
      </c>
      <c r="C42" s="827"/>
      <c r="D42" s="826">
        <v>20556942</v>
      </c>
      <c r="E42" s="827"/>
      <c r="F42" s="826">
        <v>2646904.8</v>
      </c>
      <c r="G42" s="827"/>
      <c r="H42" s="62">
        <f t="shared" si="0"/>
        <v>0.12875965695675942</v>
      </c>
      <c r="I42" s="826">
        <v>15536588.73</v>
      </c>
      <c r="J42" s="827"/>
      <c r="K42" s="62">
        <f t="shared" si="1"/>
        <v>0.7557830697775964</v>
      </c>
      <c r="L42" s="191">
        <f t="shared" si="2"/>
        <v>5020353.27</v>
      </c>
    </row>
    <row r="43" spans="1:12" ht="12.75">
      <c r="A43" s="51" t="s">
        <v>34</v>
      </c>
      <c r="B43" s="826">
        <v>0</v>
      </c>
      <c r="C43" s="827"/>
      <c r="D43" s="826">
        <v>0</v>
      </c>
      <c r="E43" s="827"/>
      <c r="F43" s="826">
        <v>0</v>
      </c>
      <c r="G43" s="827"/>
      <c r="H43" s="62">
        <f t="shared" si="0"/>
        <v>0</v>
      </c>
      <c r="I43" s="826">
        <v>320000</v>
      </c>
      <c r="J43" s="827"/>
      <c r="K43" s="62">
        <f t="shared" si="1"/>
        <v>0</v>
      </c>
      <c r="L43" s="191">
        <f t="shared" si="2"/>
        <v>-320000</v>
      </c>
    </row>
    <row r="44" spans="1:12" ht="12.75">
      <c r="A44" s="51" t="s">
        <v>35</v>
      </c>
      <c r="B44" s="826">
        <v>0</v>
      </c>
      <c r="C44" s="827"/>
      <c r="D44" s="826">
        <v>0</v>
      </c>
      <c r="E44" s="827"/>
      <c r="F44" s="826">
        <v>0</v>
      </c>
      <c r="G44" s="827"/>
      <c r="H44" s="62">
        <f t="shared" si="0"/>
        <v>0</v>
      </c>
      <c r="I44" s="826">
        <v>0</v>
      </c>
      <c r="J44" s="827"/>
      <c r="K44" s="62">
        <f t="shared" si="1"/>
        <v>0</v>
      </c>
      <c r="L44" s="191">
        <f t="shared" si="2"/>
        <v>0</v>
      </c>
    </row>
    <row r="45" spans="1:12" ht="12.75">
      <c r="A45" s="51" t="s">
        <v>36</v>
      </c>
      <c r="B45" s="826">
        <v>0</v>
      </c>
      <c r="C45" s="827"/>
      <c r="D45" s="826">
        <v>0</v>
      </c>
      <c r="E45" s="827"/>
      <c r="F45" s="826">
        <v>0</v>
      </c>
      <c r="G45" s="827"/>
      <c r="H45" s="62">
        <f t="shared" si="0"/>
        <v>0</v>
      </c>
      <c r="I45" s="826">
        <v>0</v>
      </c>
      <c r="J45" s="827"/>
      <c r="K45" s="62">
        <f t="shared" si="1"/>
        <v>0</v>
      </c>
      <c r="L45" s="191">
        <f t="shared" si="2"/>
        <v>0</v>
      </c>
    </row>
    <row r="46" spans="1:12" ht="12.75">
      <c r="A46" s="51" t="s">
        <v>37</v>
      </c>
      <c r="B46" s="826">
        <v>5125725</v>
      </c>
      <c r="C46" s="827"/>
      <c r="D46" s="826">
        <v>5125725</v>
      </c>
      <c r="E46" s="827"/>
      <c r="F46" s="826">
        <v>0</v>
      </c>
      <c r="G46" s="827"/>
      <c r="H46" s="62">
        <f t="shared" si="0"/>
        <v>0</v>
      </c>
      <c r="I46" s="826">
        <v>0</v>
      </c>
      <c r="J46" s="827"/>
      <c r="K46" s="62">
        <f t="shared" si="1"/>
        <v>0</v>
      </c>
      <c r="L46" s="191">
        <f t="shared" si="2"/>
        <v>5125725</v>
      </c>
    </row>
    <row r="47" spans="1:12" ht="12.75">
      <c r="A47" s="246" t="s">
        <v>38</v>
      </c>
      <c r="B47" s="826">
        <v>0</v>
      </c>
      <c r="C47" s="827"/>
      <c r="D47" s="826">
        <v>0</v>
      </c>
      <c r="E47" s="827"/>
      <c r="F47" s="826">
        <v>0</v>
      </c>
      <c r="G47" s="827"/>
      <c r="H47" s="62">
        <f t="shared" si="0"/>
        <v>0</v>
      </c>
      <c r="I47" s="826">
        <v>0</v>
      </c>
      <c r="J47" s="827"/>
      <c r="K47" s="62">
        <f t="shared" si="1"/>
        <v>0</v>
      </c>
      <c r="L47" s="191">
        <f t="shared" si="2"/>
        <v>0</v>
      </c>
    </row>
    <row r="48" spans="1:12" ht="12.75">
      <c r="A48" s="49" t="s">
        <v>39</v>
      </c>
      <c r="B48" s="828">
        <f>SUM(B49:C53)</f>
        <v>6270</v>
      </c>
      <c r="C48" s="829"/>
      <c r="D48" s="828">
        <f>SUM(D49:E53)</f>
        <v>6270</v>
      </c>
      <c r="E48" s="829"/>
      <c r="F48" s="828">
        <f>SUM(F49:G53)</f>
        <v>0</v>
      </c>
      <c r="G48" s="829"/>
      <c r="H48" s="240">
        <f t="shared" si="0"/>
        <v>0</v>
      </c>
      <c r="I48" s="828">
        <f>SUM(I49:J53)</f>
        <v>0</v>
      </c>
      <c r="J48" s="829"/>
      <c r="K48" s="240">
        <f t="shared" si="1"/>
        <v>0</v>
      </c>
      <c r="L48" s="241">
        <f t="shared" si="2"/>
        <v>6270</v>
      </c>
    </row>
    <row r="49" spans="1:12" ht="12.75">
      <c r="A49" s="51" t="s">
        <v>40</v>
      </c>
      <c r="B49" s="826">
        <v>1045</v>
      </c>
      <c r="C49" s="827"/>
      <c r="D49" s="826">
        <v>1045</v>
      </c>
      <c r="E49" s="827"/>
      <c r="F49" s="826">
        <v>0</v>
      </c>
      <c r="G49" s="827"/>
      <c r="H49" s="62">
        <f t="shared" si="0"/>
        <v>0</v>
      </c>
      <c r="I49" s="826">
        <v>0</v>
      </c>
      <c r="J49" s="827"/>
      <c r="K49" s="62">
        <f t="shared" si="1"/>
        <v>0</v>
      </c>
      <c r="L49" s="191">
        <f t="shared" si="2"/>
        <v>1045</v>
      </c>
    </row>
    <row r="50" spans="1:12" ht="12.75">
      <c r="A50" s="51" t="s">
        <v>41</v>
      </c>
      <c r="B50" s="826">
        <v>2090</v>
      </c>
      <c r="C50" s="827"/>
      <c r="D50" s="826">
        <v>2090</v>
      </c>
      <c r="E50" s="827"/>
      <c r="F50" s="826">
        <v>0</v>
      </c>
      <c r="G50" s="827"/>
      <c r="H50" s="62">
        <f t="shared" si="0"/>
        <v>0</v>
      </c>
      <c r="I50" s="826">
        <v>0</v>
      </c>
      <c r="J50" s="827"/>
      <c r="K50" s="62">
        <f t="shared" si="1"/>
        <v>0</v>
      </c>
      <c r="L50" s="191">
        <f t="shared" si="2"/>
        <v>2090</v>
      </c>
    </row>
    <row r="51" spans="1:12" ht="12.75">
      <c r="A51" s="51" t="s">
        <v>42</v>
      </c>
      <c r="B51" s="826">
        <v>2090</v>
      </c>
      <c r="C51" s="827"/>
      <c r="D51" s="826">
        <v>2090</v>
      </c>
      <c r="E51" s="827"/>
      <c r="F51" s="826">
        <v>0</v>
      </c>
      <c r="G51" s="827"/>
      <c r="H51" s="62">
        <f t="shared" si="0"/>
        <v>0</v>
      </c>
      <c r="I51" s="826">
        <v>0</v>
      </c>
      <c r="J51" s="827"/>
      <c r="K51" s="62">
        <f t="shared" si="1"/>
        <v>0</v>
      </c>
      <c r="L51" s="191">
        <f t="shared" si="2"/>
        <v>2090</v>
      </c>
    </row>
    <row r="52" spans="1:12" ht="25.5">
      <c r="A52" s="242" t="s">
        <v>463</v>
      </c>
      <c r="B52" s="840">
        <v>0</v>
      </c>
      <c r="C52" s="841"/>
      <c r="D52" s="840">
        <v>0</v>
      </c>
      <c r="E52" s="841"/>
      <c r="F52" s="840">
        <v>0</v>
      </c>
      <c r="G52" s="841"/>
      <c r="H52" s="243">
        <f t="shared" si="0"/>
        <v>0</v>
      </c>
      <c r="I52" s="840">
        <v>0</v>
      </c>
      <c r="J52" s="841"/>
      <c r="K52" s="243">
        <f t="shared" si="1"/>
        <v>0</v>
      </c>
      <c r="L52" s="174">
        <f t="shared" si="2"/>
        <v>0</v>
      </c>
    </row>
    <row r="53" spans="1:12" ht="12.75">
      <c r="A53" s="246" t="s">
        <v>57</v>
      </c>
      <c r="B53" s="826">
        <v>1045</v>
      </c>
      <c r="C53" s="827"/>
      <c r="D53" s="826">
        <v>1045</v>
      </c>
      <c r="E53" s="827"/>
      <c r="F53" s="826">
        <v>0</v>
      </c>
      <c r="G53" s="827"/>
      <c r="H53" s="62">
        <f t="shared" si="0"/>
        <v>0</v>
      </c>
      <c r="I53" s="826">
        <v>0</v>
      </c>
      <c r="J53" s="827"/>
      <c r="K53" s="62">
        <f t="shared" si="1"/>
        <v>0</v>
      </c>
      <c r="L53" s="191">
        <f t="shared" si="2"/>
        <v>1045</v>
      </c>
    </row>
    <row r="54" spans="1:12" ht="12.75">
      <c r="A54" s="237" t="s">
        <v>43</v>
      </c>
      <c r="B54" s="815">
        <f>+B55+B58+B61+B62+B70</f>
        <v>1469328</v>
      </c>
      <c r="C54" s="816"/>
      <c r="D54" s="815">
        <f>+D55+D58+D61+D62+D70</f>
        <v>1469328</v>
      </c>
      <c r="E54" s="816"/>
      <c r="F54" s="815">
        <f>+F55+F58+F61+F62+F70</f>
        <v>0</v>
      </c>
      <c r="G54" s="816"/>
      <c r="H54" s="238">
        <f t="shared" si="0"/>
        <v>0</v>
      </c>
      <c r="I54" s="815">
        <f>+I55+I58+I61+I62+I70</f>
        <v>85165.08</v>
      </c>
      <c r="J54" s="816"/>
      <c r="K54" s="238">
        <f t="shared" si="1"/>
        <v>0.05796192545163503</v>
      </c>
      <c r="L54" s="239">
        <f t="shared" si="2"/>
        <v>1384162.92</v>
      </c>
    </row>
    <row r="55" spans="1:12" ht="12.75">
      <c r="A55" s="49" t="s">
        <v>44</v>
      </c>
      <c r="B55" s="828">
        <f>SUM(B56:C57)</f>
        <v>1045</v>
      </c>
      <c r="C55" s="829"/>
      <c r="D55" s="828">
        <f>SUM(D56:E57)</f>
        <v>1045</v>
      </c>
      <c r="E55" s="829"/>
      <c r="F55" s="828">
        <f>SUM(F56:G57)</f>
        <v>0</v>
      </c>
      <c r="G55" s="829"/>
      <c r="H55" s="240">
        <f t="shared" si="0"/>
        <v>0</v>
      </c>
      <c r="I55" s="828">
        <f>SUM(I56:J57)</f>
        <v>0</v>
      </c>
      <c r="J55" s="829"/>
      <c r="K55" s="240">
        <f t="shared" si="1"/>
        <v>0</v>
      </c>
      <c r="L55" s="241">
        <f t="shared" si="2"/>
        <v>1045</v>
      </c>
    </row>
    <row r="56" spans="1:12" ht="12.75">
      <c r="A56" s="51" t="s">
        <v>45</v>
      </c>
      <c r="B56" s="826">
        <v>1045</v>
      </c>
      <c r="C56" s="827"/>
      <c r="D56" s="826">
        <v>1045</v>
      </c>
      <c r="E56" s="827"/>
      <c r="F56" s="826">
        <v>0</v>
      </c>
      <c r="G56" s="827"/>
      <c r="H56" s="62">
        <f t="shared" si="0"/>
        <v>0</v>
      </c>
      <c r="I56" s="826">
        <v>0</v>
      </c>
      <c r="J56" s="827"/>
      <c r="K56" s="62">
        <f t="shared" si="1"/>
        <v>0</v>
      </c>
      <c r="L56" s="191">
        <f t="shared" si="2"/>
        <v>1045</v>
      </c>
    </row>
    <row r="57" spans="1:12" ht="12.75">
      <c r="A57" s="51" t="s">
        <v>46</v>
      </c>
      <c r="B57" s="826">
        <v>0</v>
      </c>
      <c r="C57" s="827"/>
      <c r="D57" s="826">
        <v>0</v>
      </c>
      <c r="E57" s="827"/>
      <c r="F57" s="826">
        <v>0</v>
      </c>
      <c r="G57" s="827"/>
      <c r="H57" s="62">
        <f t="shared" si="0"/>
        <v>0</v>
      </c>
      <c r="I57" s="826">
        <v>0</v>
      </c>
      <c r="J57" s="827"/>
      <c r="K57" s="62">
        <f t="shared" si="1"/>
        <v>0</v>
      </c>
      <c r="L57" s="191">
        <f t="shared" si="2"/>
        <v>0</v>
      </c>
    </row>
    <row r="58" spans="1:12" ht="12.75">
      <c r="A58" s="49" t="s">
        <v>47</v>
      </c>
      <c r="B58" s="828">
        <f>SUM(B59:C60)</f>
        <v>2090</v>
      </c>
      <c r="C58" s="829"/>
      <c r="D58" s="828">
        <f>SUM(D59:E60)</f>
        <v>2090</v>
      </c>
      <c r="E58" s="829"/>
      <c r="F58" s="828">
        <f>SUM(F59:G60)</f>
        <v>0</v>
      </c>
      <c r="G58" s="829"/>
      <c r="H58" s="240">
        <f t="shared" si="0"/>
        <v>0</v>
      </c>
      <c r="I58" s="828">
        <f>SUM(I59:J60)</f>
        <v>0</v>
      </c>
      <c r="J58" s="829"/>
      <c r="K58" s="240">
        <f t="shared" si="1"/>
        <v>0</v>
      </c>
      <c r="L58" s="241">
        <f t="shared" si="2"/>
        <v>2090</v>
      </c>
    </row>
    <row r="59" spans="1:12" ht="12.75">
      <c r="A59" s="51" t="s">
        <v>48</v>
      </c>
      <c r="B59" s="826">
        <v>1045</v>
      </c>
      <c r="C59" s="827"/>
      <c r="D59" s="826">
        <v>1045</v>
      </c>
      <c r="E59" s="827"/>
      <c r="F59" s="826">
        <v>0</v>
      </c>
      <c r="G59" s="827"/>
      <c r="H59" s="62">
        <f t="shared" si="0"/>
        <v>0</v>
      </c>
      <c r="I59" s="826">
        <v>0</v>
      </c>
      <c r="J59" s="827"/>
      <c r="K59" s="62">
        <f t="shared" si="1"/>
        <v>0</v>
      </c>
      <c r="L59" s="191">
        <f t="shared" si="2"/>
        <v>1045</v>
      </c>
    </row>
    <row r="60" spans="1:12" ht="12.75">
      <c r="A60" s="51" t="s">
        <v>49</v>
      </c>
      <c r="B60" s="826">
        <v>1045</v>
      </c>
      <c r="C60" s="827"/>
      <c r="D60" s="826">
        <v>1045</v>
      </c>
      <c r="E60" s="827"/>
      <c r="F60" s="826">
        <v>0</v>
      </c>
      <c r="G60" s="827"/>
      <c r="H60" s="62">
        <f t="shared" si="0"/>
        <v>0</v>
      </c>
      <c r="I60" s="826">
        <v>0</v>
      </c>
      <c r="J60" s="827"/>
      <c r="K60" s="62">
        <f t="shared" si="1"/>
        <v>0</v>
      </c>
      <c r="L60" s="191">
        <f t="shared" si="2"/>
        <v>1045</v>
      </c>
    </row>
    <row r="61" spans="1:12" ht="12.75">
      <c r="A61" s="49" t="s">
        <v>50</v>
      </c>
      <c r="B61" s="826">
        <v>0</v>
      </c>
      <c r="C61" s="827"/>
      <c r="D61" s="826">
        <v>0</v>
      </c>
      <c r="E61" s="827"/>
      <c r="F61" s="826">
        <v>0</v>
      </c>
      <c r="G61" s="827"/>
      <c r="H61" s="240">
        <f t="shared" si="0"/>
        <v>0</v>
      </c>
      <c r="I61" s="826">
        <v>0</v>
      </c>
      <c r="J61" s="827"/>
      <c r="K61" s="240">
        <f t="shared" si="1"/>
        <v>0</v>
      </c>
      <c r="L61" s="241">
        <f t="shared" si="2"/>
        <v>0</v>
      </c>
    </row>
    <row r="62" spans="1:12" ht="12.75">
      <c r="A62" s="49" t="s">
        <v>51</v>
      </c>
      <c r="B62" s="828">
        <f>SUM(B63:C69)</f>
        <v>1464730</v>
      </c>
      <c r="C62" s="829"/>
      <c r="D62" s="828">
        <f>SUM(D63:E69)</f>
        <v>1464730</v>
      </c>
      <c r="E62" s="829"/>
      <c r="F62" s="828">
        <f>SUM(F63:G69)</f>
        <v>0</v>
      </c>
      <c r="G62" s="829"/>
      <c r="H62" s="240">
        <f t="shared" si="0"/>
        <v>0</v>
      </c>
      <c r="I62" s="828">
        <f>SUM(I63:J69)</f>
        <v>85165.08</v>
      </c>
      <c r="J62" s="829"/>
      <c r="K62" s="240">
        <f t="shared" si="1"/>
        <v>0.058143876345811175</v>
      </c>
      <c r="L62" s="241">
        <f t="shared" si="2"/>
        <v>1379564.92</v>
      </c>
    </row>
    <row r="63" spans="1:12" ht="12.75">
      <c r="A63" s="51" t="s">
        <v>33</v>
      </c>
      <c r="B63" s="826">
        <v>442790</v>
      </c>
      <c r="C63" s="827"/>
      <c r="D63" s="826">
        <v>442790</v>
      </c>
      <c r="E63" s="827"/>
      <c r="F63" s="826">
        <v>0</v>
      </c>
      <c r="G63" s="827"/>
      <c r="H63" s="62">
        <f t="shared" si="0"/>
        <v>0</v>
      </c>
      <c r="I63" s="826">
        <v>0</v>
      </c>
      <c r="J63" s="827"/>
      <c r="K63" s="62">
        <f t="shared" si="1"/>
        <v>0</v>
      </c>
      <c r="L63" s="191">
        <f t="shared" si="2"/>
        <v>442790</v>
      </c>
    </row>
    <row r="64" spans="1:12" ht="12.75">
      <c r="A64" s="51" t="s">
        <v>34</v>
      </c>
      <c r="B64" s="826">
        <v>0</v>
      </c>
      <c r="C64" s="827"/>
      <c r="D64" s="826">
        <v>0</v>
      </c>
      <c r="E64" s="827"/>
      <c r="F64" s="826">
        <v>0</v>
      </c>
      <c r="G64" s="827"/>
      <c r="H64" s="62">
        <f t="shared" si="0"/>
        <v>0</v>
      </c>
      <c r="I64" s="826">
        <v>0</v>
      </c>
      <c r="J64" s="827"/>
      <c r="K64" s="62">
        <f t="shared" si="1"/>
        <v>0</v>
      </c>
      <c r="L64" s="191">
        <f t="shared" si="2"/>
        <v>0</v>
      </c>
    </row>
    <row r="65" spans="1:12" ht="12.75">
      <c r="A65" s="51" t="s">
        <v>35</v>
      </c>
      <c r="B65" s="826">
        <v>0</v>
      </c>
      <c r="C65" s="827"/>
      <c r="D65" s="826">
        <v>0</v>
      </c>
      <c r="E65" s="827"/>
      <c r="F65" s="826">
        <v>0</v>
      </c>
      <c r="G65" s="827"/>
      <c r="H65" s="62">
        <f t="shared" si="0"/>
        <v>0</v>
      </c>
      <c r="I65" s="826">
        <v>0</v>
      </c>
      <c r="J65" s="827"/>
      <c r="K65" s="62">
        <f t="shared" si="1"/>
        <v>0</v>
      </c>
      <c r="L65" s="191">
        <f t="shared" si="2"/>
        <v>0</v>
      </c>
    </row>
    <row r="66" spans="1:12" ht="12.75">
      <c r="A66" s="51" t="s">
        <v>36</v>
      </c>
      <c r="B66" s="826">
        <v>0</v>
      </c>
      <c r="C66" s="827"/>
      <c r="D66" s="826">
        <v>0</v>
      </c>
      <c r="E66" s="827"/>
      <c r="F66" s="826">
        <v>0</v>
      </c>
      <c r="G66" s="827"/>
      <c r="H66" s="62">
        <f t="shared" si="0"/>
        <v>0</v>
      </c>
      <c r="I66" s="826">
        <v>0</v>
      </c>
      <c r="J66" s="827"/>
      <c r="K66" s="62">
        <f t="shared" si="1"/>
        <v>0</v>
      </c>
      <c r="L66" s="191">
        <f t="shared" si="2"/>
        <v>0</v>
      </c>
    </row>
    <row r="67" spans="1:12" ht="12.75">
      <c r="A67" s="247" t="s">
        <v>52</v>
      </c>
      <c r="B67" s="826">
        <v>0</v>
      </c>
      <c r="C67" s="827"/>
      <c r="D67" s="826">
        <v>0</v>
      </c>
      <c r="E67" s="827"/>
      <c r="F67" s="826">
        <v>0</v>
      </c>
      <c r="G67" s="827"/>
      <c r="H67" s="62">
        <f t="shared" si="0"/>
        <v>0</v>
      </c>
      <c r="I67" s="826">
        <v>0</v>
      </c>
      <c r="J67" s="827"/>
      <c r="K67" s="62">
        <f t="shared" si="1"/>
        <v>0</v>
      </c>
      <c r="L67" s="191">
        <f t="shared" si="2"/>
        <v>0</v>
      </c>
    </row>
    <row r="68" spans="1:12" ht="12.75">
      <c r="A68" s="247" t="s">
        <v>37</v>
      </c>
      <c r="B68" s="826">
        <v>1021940</v>
      </c>
      <c r="C68" s="827"/>
      <c r="D68" s="826">
        <v>1021940</v>
      </c>
      <c r="E68" s="827"/>
      <c r="F68" s="826">
        <v>0</v>
      </c>
      <c r="G68" s="827"/>
      <c r="H68" s="62">
        <f t="shared" si="0"/>
        <v>0</v>
      </c>
      <c r="I68" s="826">
        <v>85165.08</v>
      </c>
      <c r="J68" s="827"/>
      <c r="K68" s="62">
        <f t="shared" si="1"/>
        <v>0.08333667338591307</v>
      </c>
      <c r="L68" s="191">
        <f t="shared" si="2"/>
        <v>936774.92</v>
      </c>
    </row>
    <row r="69" spans="1:12" ht="12.75">
      <c r="A69" s="247" t="s">
        <v>38</v>
      </c>
      <c r="B69" s="826">
        <v>0</v>
      </c>
      <c r="C69" s="827"/>
      <c r="D69" s="826">
        <v>0</v>
      </c>
      <c r="E69" s="827"/>
      <c r="F69" s="826">
        <v>0</v>
      </c>
      <c r="G69" s="827"/>
      <c r="H69" s="62">
        <f t="shared" si="0"/>
        <v>0</v>
      </c>
      <c r="I69" s="826">
        <v>0</v>
      </c>
      <c r="J69" s="827"/>
      <c r="K69" s="62">
        <f t="shared" si="1"/>
        <v>0</v>
      </c>
      <c r="L69" s="191">
        <f t="shared" si="2"/>
        <v>0</v>
      </c>
    </row>
    <row r="70" spans="1:12" ht="12.75">
      <c r="A70" s="49" t="s">
        <v>53</v>
      </c>
      <c r="B70" s="828">
        <f>SUM(B71:C73)</f>
        <v>1463</v>
      </c>
      <c r="C70" s="829"/>
      <c r="D70" s="828">
        <f>SUM(D71:E73)</f>
        <v>1463</v>
      </c>
      <c r="E70" s="829"/>
      <c r="F70" s="828">
        <f>SUM(F71:G73)</f>
        <v>0</v>
      </c>
      <c r="G70" s="829"/>
      <c r="H70" s="240">
        <f t="shared" si="0"/>
        <v>0</v>
      </c>
      <c r="I70" s="828">
        <f>SUM(I71:J73)</f>
        <v>0</v>
      </c>
      <c r="J70" s="829"/>
      <c r="K70" s="240">
        <f t="shared" si="1"/>
        <v>0</v>
      </c>
      <c r="L70" s="241">
        <f t="shared" si="2"/>
        <v>1463</v>
      </c>
    </row>
    <row r="71" spans="1:12" ht="12.75">
      <c r="A71" s="51" t="s">
        <v>54</v>
      </c>
      <c r="B71" s="826">
        <v>0</v>
      </c>
      <c r="C71" s="827"/>
      <c r="D71" s="826">
        <v>0</v>
      </c>
      <c r="E71" s="827"/>
      <c r="F71" s="826">
        <v>0</v>
      </c>
      <c r="G71" s="827"/>
      <c r="H71" s="62">
        <f t="shared" si="0"/>
        <v>0</v>
      </c>
      <c r="I71" s="826">
        <v>0</v>
      </c>
      <c r="J71" s="827"/>
      <c r="K71" s="62">
        <f t="shared" si="1"/>
        <v>0</v>
      </c>
      <c r="L71" s="191">
        <f t="shared" si="2"/>
        <v>0</v>
      </c>
    </row>
    <row r="72" spans="1:12" ht="12.75">
      <c r="A72" s="248" t="s">
        <v>55</v>
      </c>
      <c r="B72" s="826">
        <v>0</v>
      </c>
      <c r="C72" s="827"/>
      <c r="D72" s="826">
        <v>0</v>
      </c>
      <c r="E72" s="827"/>
      <c r="F72" s="826">
        <v>0</v>
      </c>
      <c r="G72" s="827"/>
      <c r="H72" s="62">
        <f t="shared" si="0"/>
        <v>0</v>
      </c>
      <c r="I72" s="826">
        <v>0</v>
      </c>
      <c r="J72" s="827"/>
      <c r="K72" s="62">
        <f t="shared" si="1"/>
        <v>0</v>
      </c>
      <c r="L72" s="191">
        <f t="shared" si="2"/>
        <v>0</v>
      </c>
    </row>
    <row r="73" spans="1:12" ht="12.75">
      <c r="A73" s="247" t="s">
        <v>56</v>
      </c>
      <c r="B73" s="826">
        <v>1463</v>
      </c>
      <c r="C73" s="827"/>
      <c r="D73" s="826">
        <v>1463</v>
      </c>
      <c r="E73" s="827"/>
      <c r="F73" s="826">
        <v>0</v>
      </c>
      <c r="G73" s="827"/>
      <c r="H73" s="62">
        <f t="shared" si="0"/>
        <v>0</v>
      </c>
      <c r="I73" s="826">
        <v>0</v>
      </c>
      <c r="J73" s="827"/>
      <c r="K73" s="62">
        <f t="shared" si="1"/>
        <v>0</v>
      </c>
      <c r="L73" s="191">
        <f t="shared" si="2"/>
        <v>1463</v>
      </c>
    </row>
    <row r="74" spans="1:12" ht="12.75">
      <c r="A74" s="249" t="s">
        <v>86</v>
      </c>
      <c r="B74" s="842">
        <f>+B126</f>
        <v>0</v>
      </c>
      <c r="C74" s="843"/>
      <c r="D74" s="842">
        <f>+D126</f>
        <v>0</v>
      </c>
      <c r="E74" s="843"/>
      <c r="F74" s="842">
        <f>+F126</f>
        <v>0</v>
      </c>
      <c r="G74" s="843"/>
      <c r="H74" s="250">
        <f t="shared" si="0"/>
        <v>0</v>
      </c>
      <c r="I74" s="842">
        <f>+I126</f>
        <v>0</v>
      </c>
      <c r="J74" s="843"/>
      <c r="K74" s="250">
        <f t="shared" si="1"/>
        <v>0</v>
      </c>
      <c r="L74" s="251">
        <f t="shared" si="2"/>
        <v>0</v>
      </c>
    </row>
    <row r="75" spans="1:12" ht="12.75">
      <c r="A75" s="252" t="s">
        <v>87</v>
      </c>
      <c r="B75" s="817">
        <f>+B13-B74</f>
        <v>32199585</v>
      </c>
      <c r="C75" s="818"/>
      <c r="D75" s="817">
        <f>+D13-D74</f>
        <v>32199585</v>
      </c>
      <c r="E75" s="818"/>
      <c r="F75" s="817">
        <f>+F13-F74</f>
        <v>2647316.5</v>
      </c>
      <c r="G75" s="818"/>
      <c r="H75" s="253"/>
      <c r="I75" s="817">
        <f>+I13-I74</f>
        <v>19126269.479999997</v>
      </c>
      <c r="J75" s="818"/>
      <c r="K75" s="253"/>
      <c r="L75" s="254">
        <f t="shared" si="2"/>
        <v>13073315.520000003</v>
      </c>
    </row>
    <row r="76" spans="1:12" ht="12.75">
      <c r="A76" s="255" t="s">
        <v>431</v>
      </c>
      <c r="B76" s="834">
        <f>+B77+B80</f>
        <v>0</v>
      </c>
      <c r="C76" s="835"/>
      <c r="D76" s="834">
        <f>+D77+D80</f>
        <v>0</v>
      </c>
      <c r="E76" s="835"/>
      <c r="F76" s="834">
        <f>+F77+F80</f>
        <v>0</v>
      </c>
      <c r="G76" s="835"/>
      <c r="H76" s="250">
        <f t="shared" si="0"/>
        <v>0</v>
      </c>
      <c r="I76" s="834">
        <f>+I77+I80</f>
        <v>0</v>
      </c>
      <c r="J76" s="835"/>
      <c r="K76" s="250">
        <f aca="true" t="shared" si="3" ref="K76:K82">IF(D76="",0,IF(D76=0,0,I76/D76))</f>
        <v>0</v>
      </c>
      <c r="L76" s="251">
        <f t="shared" si="2"/>
        <v>0</v>
      </c>
    </row>
    <row r="77" spans="1:12" ht="12.75">
      <c r="A77" s="237" t="s">
        <v>400</v>
      </c>
      <c r="B77" s="815">
        <f>SUM(B78:C79)</f>
        <v>0</v>
      </c>
      <c r="C77" s="816"/>
      <c r="D77" s="815">
        <f>SUM(D78:E79)</f>
        <v>0</v>
      </c>
      <c r="E77" s="816"/>
      <c r="F77" s="815">
        <f>SUM(F78:G79)</f>
        <v>0</v>
      </c>
      <c r="G77" s="816"/>
      <c r="H77" s="256">
        <f t="shared" si="0"/>
        <v>0</v>
      </c>
      <c r="I77" s="815">
        <f>SUM(I78:J79)</f>
        <v>0</v>
      </c>
      <c r="J77" s="816"/>
      <c r="K77" s="256">
        <f t="shared" si="3"/>
        <v>0</v>
      </c>
      <c r="L77" s="239">
        <f t="shared" si="2"/>
        <v>0</v>
      </c>
    </row>
    <row r="78" spans="1:12" ht="12.75">
      <c r="A78" s="51" t="s">
        <v>58</v>
      </c>
      <c r="B78" s="826">
        <v>0</v>
      </c>
      <c r="C78" s="827"/>
      <c r="D78" s="826">
        <v>0</v>
      </c>
      <c r="E78" s="827"/>
      <c r="F78" s="826">
        <v>0</v>
      </c>
      <c r="G78" s="827"/>
      <c r="H78" s="62">
        <f>IF(D78="",0,IF(D78=0,0,+F78/D78))</f>
        <v>0</v>
      </c>
      <c r="I78" s="826">
        <v>0</v>
      </c>
      <c r="J78" s="827"/>
      <c r="K78" s="62">
        <f t="shared" si="3"/>
        <v>0</v>
      </c>
      <c r="L78" s="191">
        <f aca="true" t="shared" si="4" ref="L78:L83">+D78-I78</f>
        <v>0</v>
      </c>
    </row>
    <row r="79" spans="1:12" ht="12.75">
      <c r="A79" s="257" t="s">
        <v>59</v>
      </c>
      <c r="B79" s="826">
        <v>0</v>
      </c>
      <c r="C79" s="827"/>
      <c r="D79" s="826">
        <v>0</v>
      </c>
      <c r="E79" s="827"/>
      <c r="F79" s="826">
        <v>0</v>
      </c>
      <c r="G79" s="827"/>
      <c r="H79" s="62">
        <f>IF(D79="",0,IF(D79=0,0,+F79/D79))</f>
        <v>0</v>
      </c>
      <c r="I79" s="826">
        <v>0</v>
      </c>
      <c r="J79" s="827"/>
      <c r="K79" s="62">
        <f t="shared" si="3"/>
        <v>0</v>
      </c>
      <c r="L79" s="191">
        <f t="shared" si="4"/>
        <v>0</v>
      </c>
    </row>
    <row r="80" spans="1:12" ht="12.75">
      <c r="A80" s="237" t="s">
        <v>401</v>
      </c>
      <c r="B80" s="815">
        <f>SUM(B81:C82)</f>
        <v>0</v>
      </c>
      <c r="C80" s="816"/>
      <c r="D80" s="815">
        <f>SUM(D81:E82)</f>
        <v>0</v>
      </c>
      <c r="E80" s="816"/>
      <c r="F80" s="815">
        <f>SUM(F81:G82)</f>
        <v>0</v>
      </c>
      <c r="G80" s="816"/>
      <c r="H80" s="256">
        <f>IF(D80="",0,IF(D80=0,0,+F80/D80))</f>
        <v>0</v>
      </c>
      <c r="I80" s="815">
        <f>SUM(I81:J82)</f>
        <v>0</v>
      </c>
      <c r="J80" s="816"/>
      <c r="K80" s="256">
        <f t="shared" si="3"/>
        <v>0</v>
      </c>
      <c r="L80" s="239">
        <f t="shared" si="4"/>
        <v>0</v>
      </c>
    </row>
    <row r="81" spans="1:12" ht="12.75">
      <c r="A81" s="51" t="s">
        <v>58</v>
      </c>
      <c r="B81" s="826">
        <v>0</v>
      </c>
      <c r="C81" s="827"/>
      <c r="D81" s="826">
        <v>0</v>
      </c>
      <c r="E81" s="827"/>
      <c r="F81" s="826">
        <v>0</v>
      </c>
      <c r="G81" s="827"/>
      <c r="H81" s="62">
        <f>IF(D81="",0,IF(D81=0,0,+F81/D81))</f>
        <v>0</v>
      </c>
      <c r="I81" s="826">
        <v>0</v>
      </c>
      <c r="J81" s="827"/>
      <c r="K81" s="62">
        <f t="shared" si="3"/>
        <v>0</v>
      </c>
      <c r="L81" s="191">
        <f t="shared" si="4"/>
        <v>0</v>
      </c>
    </row>
    <row r="82" spans="1:12" ht="12.75">
      <c r="A82" s="257" t="s">
        <v>59</v>
      </c>
      <c r="B82" s="826">
        <v>0</v>
      </c>
      <c r="C82" s="827"/>
      <c r="D82" s="826">
        <v>0</v>
      </c>
      <c r="E82" s="827"/>
      <c r="F82" s="826">
        <v>0</v>
      </c>
      <c r="G82" s="827"/>
      <c r="H82" s="62">
        <f>IF(D82="",0,IF(D82=0,0,+F82/D82))</f>
        <v>0</v>
      </c>
      <c r="I82" s="826">
        <v>0</v>
      </c>
      <c r="J82" s="827"/>
      <c r="K82" s="62">
        <f t="shared" si="3"/>
        <v>0</v>
      </c>
      <c r="L82" s="191">
        <f t="shared" si="4"/>
        <v>0</v>
      </c>
    </row>
    <row r="83" spans="1:12" ht="12.75">
      <c r="A83" s="252" t="s">
        <v>60</v>
      </c>
      <c r="B83" s="817">
        <f>+B75+B76</f>
        <v>32199585</v>
      </c>
      <c r="C83" s="818"/>
      <c r="D83" s="817">
        <f>+D75+D76</f>
        <v>32199585</v>
      </c>
      <c r="E83" s="818"/>
      <c r="F83" s="817">
        <f>+F75+F76</f>
        <v>2647316.5</v>
      </c>
      <c r="G83" s="818"/>
      <c r="H83" s="253"/>
      <c r="I83" s="817">
        <f>+I75+I76</f>
        <v>19126269.479999997</v>
      </c>
      <c r="J83" s="818"/>
      <c r="K83" s="253"/>
      <c r="L83" s="254">
        <f t="shared" si="4"/>
        <v>13073315.520000003</v>
      </c>
    </row>
    <row r="84" spans="1:12" ht="12.75">
      <c r="A84" s="258" t="s">
        <v>88</v>
      </c>
      <c r="B84" s="824"/>
      <c r="C84" s="825"/>
      <c r="D84" s="824"/>
      <c r="E84" s="825"/>
      <c r="F84" s="824"/>
      <c r="G84" s="825"/>
      <c r="H84" s="253"/>
      <c r="I84" s="836"/>
      <c r="J84" s="837"/>
      <c r="K84" s="253"/>
      <c r="L84" s="282"/>
    </row>
    <row r="85" spans="1:12" ht="12.75">
      <c r="A85" s="259" t="s">
        <v>89</v>
      </c>
      <c r="B85" s="849">
        <f>+B83</f>
        <v>32199585</v>
      </c>
      <c r="C85" s="850"/>
      <c r="D85" s="849">
        <f>+D83</f>
        <v>32199585</v>
      </c>
      <c r="E85" s="850"/>
      <c r="F85" s="849">
        <f>+F83</f>
        <v>2647316.5</v>
      </c>
      <c r="G85" s="850"/>
      <c r="H85" s="253"/>
      <c r="I85" s="849">
        <f>+I84+I83</f>
        <v>19126269.479999997</v>
      </c>
      <c r="J85" s="850"/>
      <c r="K85" s="253"/>
      <c r="L85" s="201">
        <f>+D85-I85</f>
        <v>13073315.520000003</v>
      </c>
    </row>
    <row r="86" spans="1:12" ht="25.5">
      <c r="A86" s="260" t="s">
        <v>61</v>
      </c>
      <c r="B86" s="824"/>
      <c r="C86" s="825"/>
      <c r="D86" s="836">
        <v>0</v>
      </c>
      <c r="E86" s="837"/>
      <c r="F86" s="824"/>
      <c r="G86" s="825"/>
      <c r="H86" s="253"/>
      <c r="I86" s="838">
        <v>0</v>
      </c>
      <c r="J86" s="839"/>
      <c r="K86" s="253"/>
      <c r="L86" s="282"/>
    </row>
    <row r="87" spans="1:12" ht="12.75">
      <c r="A87" s="261" t="s">
        <v>425</v>
      </c>
      <c r="B87" s="824"/>
      <c r="C87" s="825"/>
      <c r="D87" s="836">
        <v>0</v>
      </c>
      <c r="E87" s="837"/>
      <c r="F87" s="824"/>
      <c r="G87" s="825"/>
      <c r="H87" s="253"/>
      <c r="I87" s="836">
        <v>0</v>
      </c>
      <c r="J87" s="837"/>
      <c r="K87" s="253"/>
      <c r="L87" s="282"/>
    </row>
    <row r="88" spans="1:12" ht="12.75">
      <c r="A88" s="262" t="s">
        <v>424</v>
      </c>
      <c r="B88" s="824"/>
      <c r="C88" s="825"/>
      <c r="D88" s="836">
        <v>0</v>
      </c>
      <c r="E88" s="837"/>
      <c r="F88" s="824"/>
      <c r="G88" s="825"/>
      <c r="H88" s="253"/>
      <c r="I88" s="836">
        <v>0</v>
      </c>
      <c r="J88" s="837"/>
      <c r="K88" s="253"/>
      <c r="L88" s="282"/>
    </row>
    <row r="89" spans="1:12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4.25" customHeight="1">
      <c r="A90" s="263"/>
      <c r="B90" s="812" t="s">
        <v>822</v>
      </c>
      <c r="C90" s="812" t="s">
        <v>283</v>
      </c>
      <c r="D90" s="810" t="s">
        <v>176</v>
      </c>
      <c r="E90" s="811"/>
      <c r="F90" s="264" t="s">
        <v>179</v>
      </c>
      <c r="G90" s="810" t="s">
        <v>177</v>
      </c>
      <c r="H90" s="811"/>
      <c r="I90" s="802" t="s">
        <v>179</v>
      </c>
      <c r="J90" s="812" t="s">
        <v>691</v>
      </c>
      <c r="K90" s="804" t="s">
        <v>987</v>
      </c>
      <c r="L90" s="805"/>
    </row>
    <row r="91" spans="1:12" ht="14.25" customHeight="1">
      <c r="A91" s="265" t="s">
        <v>178</v>
      </c>
      <c r="B91" s="813"/>
      <c r="C91" s="813"/>
      <c r="D91" s="812" t="s">
        <v>117</v>
      </c>
      <c r="E91" s="800" t="s">
        <v>119</v>
      </c>
      <c r="F91" s="266"/>
      <c r="G91" s="812" t="s">
        <v>117</v>
      </c>
      <c r="H91" s="800" t="s">
        <v>119</v>
      </c>
      <c r="I91" s="803"/>
      <c r="J91" s="813"/>
      <c r="K91" s="806"/>
      <c r="L91" s="807"/>
    </row>
    <row r="92" spans="1:12" ht="14.25" customHeight="1">
      <c r="A92" s="267"/>
      <c r="B92" s="813"/>
      <c r="C92" s="813"/>
      <c r="D92" s="813"/>
      <c r="E92" s="801"/>
      <c r="F92" s="266"/>
      <c r="G92" s="813"/>
      <c r="H92" s="801"/>
      <c r="I92" s="803"/>
      <c r="J92" s="813"/>
      <c r="K92" s="806"/>
      <c r="L92" s="807"/>
    </row>
    <row r="93" spans="1:12" ht="12.75" customHeight="1">
      <c r="A93" s="268"/>
      <c r="B93" s="269" t="s">
        <v>180</v>
      </c>
      <c r="C93" s="269" t="s">
        <v>181</v>
      </c>
      <c r="D93" s="814"/>
      <c r="E93" s="269" t="s">
        <v>274</v>
      </c>
      <c r="F93" s="270" t="s">
        <v>855</v>
      </c>
      <c r="G93" s="814"/>
      <c r="H93" s="269" t="s">
        <v>183</v>
      </c>
      <c r="I93" s="269" t="s">
        <v>856</v>
      </c>
      <c r="J93" s="269" t="s">
        <v>420</v>
      </c>
      <c r="K93" s="808" t="s">
        <v>421</v>
      </c>
      <c r="L93" s="809"/>
    </row>
    <row r="94" spans="1:12" ht="12.75">
      <c r="A94" s="271" t="s">
        <v>432</v>
      </c>
      <c r="B94" s="751">
        <f>+B95+B101+B105+B106</f>
        <v>31982225</v>
      </c>
      <c r="C94" s="751">
        <f aca="true" t="shared" si="5" ref="C94:J94">+C95+C101+C105+C106</f>
        <v>41919728.12</v>
      </c>
      <c r="D94" s="751">
        <f t="shared" si="5"/>
        <v>2171165.72</v>
      </c>
      <c r="E94" s="751">
        <f t="shared" si="5"/>
        <v>18757910.98</v>
      </c>
      <c r="F94" s="751">
        <f t="shared" si="5"/>
        <v>23161817.14</v>
      </c>
      <c r="G94" s="751">
        <f t="shared" si="5"/>
        <v>2171165.72</v>
      </c>
      <c r="H94" s="751">
        <f t="shared" si="5"/>
        <v>18038413.36</v>
      </c>
      <c r="I94" s="751">
        <f t="shared" si="5"/>
        <v>23881314.759999998</v>
      </c>
      <c r="J94" s="751">
        <f t="shared" si="5"/>
        <v>14464957.36</v>
      </c>
      <c r="K94" s="832">
        <f>+K95+K101+K105+K106</f>
        <v>0</v>
      </c>
      <c r="L94" s="833"/>
    </row>
    <row r="95" spans="1:12" ht="12.75">
      <c r="A95" s="272" t="s">
        <v>90</v>
      </c>
      <c r="B95" s="239">
        <f>SUM(B96:B98)</f>
        <v>22579531</v>
      </c>
      <c r="C95" s="239">
        <f aca="true" t="shared" si="6" ref="C95:J95">SUM(C96:C98)</f>
        <v>30383981.5</v>
      </c>
      <c r="D95" s="239">
        <f t="shared" si="6"/>
        <v>2160259.5300000003</v>
      </c>
      <c r="E95" s="239">
        <f t="shared" si="6"/>
        <v>15900532.77</v>
      </c>
      <c r="F95" s="239">
        <f t="shared" si="6"/>
        <v>14483448.73</v>
      </c>
      <c r="G95" s="239">
        <f t="shared" si="6"/>
        <v>2160259.5300000003</v>
      </c>
      <c r="H95" s="239">
        <f t="shared" si="6"/>
        <v>15900532.77</v>
      </c>
      <c r="I95" s="239">
        <f t="shared" si="6"/>
        <v>14483448.73</v>
      </c>
      <c r="J95" s="239">
        <f t="shared" si="6"/>
        <v>12624834.36</v>
      </c>
      <c r="K95" s="815">
        <f>SUM(K96:K98)</f>
        <v>0</v>
      </c>
      <c r="L95" s="816"/>
    </row>
    <row r="96" spans="1:12" s="40" customFormat="1" ht="12.75">
      <c r="A96" s="273" t="s">
        <v>91</v>
      </c>
      <c r="B96" s="734">
        <v>13937982</v>
      </c>
      <c r="C96" s="734">
        <v>16007982</v>
      </c>
      <c r="D96" s="734">
        <v>585678.73</v>
      </c>
      <c r="E96" s="734">
        <v>7965155.88</v>
      </c>
      <c r="F96" s="241">
        <f aca="true" t="shared" si="7" ref="F96:F115">+C96-E96</f>
        <v>8042826.12</v>
      </c>
      <c r="G96" s="330">
        <v>585678.73</v>
      </c>
      <c r="H96" s="330">
        <v>7965155.88</v>
      </c>
      <c r="I96" s="50">
        <f aca="true" t="shared" si="8" ref="I96:I115">+C96-H96</f>
        <v>8042826.12</v>
      </c>
      <c r="J96" s="735">
        <v>6891338.84</v>
      </c>
      <c r="K96" s="830">
        <v>0</v>
      </c>
      <c r="L96" s="831"/>
    </row>
    <row r="97" spans="1:12" ht="12.75">
      <c r="A97" s="273" t="s">
        <v>92</v>
      </c>
      <c r="B97" s="734">
        <v>36712</v>
      </c>
      <c r="C97" s="734">
        <v>36712</v>
      </c>
      <c r="D97" s="734">
        <v>0</v>
      </c>
      <c r="E97" s="734">
        <v>0</v>
      </c>
      <c r="F97" s="241">
        <f t="shared" si="7"/>
        <v>36712</v>
      </c>
      <c r="G97" s="330">
        <v>0</v>
      </c>
      <c r="H97" s="330">
        <v>0</v>
      </c>
      <c r="I97" s="50">
        <f t="shared" si="8"/>
        <v>36712</v>
      </c>
      <c r="J97" s="734">
        <v>0</v>
      </c>
      <c r="K97" s="830">
        <v>0</v>
      </c>
      <c r="L97" s="831"/>
    </row>
    <row r="98" spans="1:12" ht="12.75">
      <c r="A98" s="273" t="s">
        <v>93</v>
      </c>
      <c r="B98" s="241">
        <f>SUM(B99:B100)</f>
        <v>8604837</v>
      </c>
      <c r="C98" s="241">
        <f>SUM(C99:C100)</f>
        <v>14339287.5</v>
      </c>
      <c r="D98" s="241">
        <f>SUM(D99:D100)</f>
        <v>1574580.8</v>
      </c>
      <c r="E98" s="241">
        <f>SUM(E99:E100)</f>
        <v>7935376.89</v>
      </c>
      <c r="F98" s="241">
        <f t="shared" si="7"/>
        <v>6403910.61</v>
      </c>
      <c r="G98" s="241">
        <f>SUM(G99:G100)</f>
        <v>1574580.8</v>
      </c>
      <c r="H98" s="241">
        <f>SUM(H99:H100)</f>
        <v>7935376.89</v>
      </c>
      <c r="I98" s="241">
        <f t="shared" si="8"/>
        <v>6403910.61</v>
      </c>
      <c r="J98" s="241">
        <f>SUM(J99:J100)</f>
        <v>5733495.52</v>
      </c>
      <c r="K98" s="828">
        <f>SUM(K99:K100)</f>
        <v>0</v>
      </c>
      <c r="L98" s="829"/>
    </row>
    <row r="99" spans="1:12" ht="15.75">
      <c r="A99" s="274" t="s">
        <v>632</v>
      </c>
      <c r="B99" s="734">
        <v>8604837</v>
      </c>
      <c r="C99" s="734">
        <v>14339287.5</v>
      </c>
      <c r="D99" s="734">
        <v>1574580.8</v>
      </c>
      <c r="E99" s="734">
        <v>7935376.89</v>
      </c>
      <c r="F99" s="191">
        <f t="shared" si="7"/>
        <v>6403910.61</v>
      </c>
      <c r="G99" s="330">
        <v>1574580.8</v>
      </c>
      <c r="H99" s="330">
        <v>7935376.89</v>
      </c>
      <c r="I99" s="52">
        <f t="shared" si="8"/>
        <v>6403910.61</v>
      </c>
      <c r="J99" s="734">
        <v>5733495.52</v>
      </c>
      <c r="K99" s="830">
        <v>0</v>
      </c>
      <c r="L99" s="831"/>
    </row>
    <row r="100" spans="1:12" ht="15.75">
      <c r="A100" s="274" t="s">
        <v>633</v>
      </c>
      <c r="B100" s="734"/>
      <c r="C100" s="734"/>
      <c r="D100" s="734"/>
      <c r="E100" s="734"/>
      <c r="F100" s="191">
        <f t="shared" si="7"/>
        <v>0</v>
      </c>
      <c r="G100" s="330"/>
      <c r="H100" s="330"/>
      <c r="I100" s="52">
        <f t="shared" si="8"/>
        <v>0</v>
      </c>
      <c r="J100" s="734"/>
      <c r="K100" s="830"/>
      <c r="L100" s="831"/>
    </row>
    <row r="101" spans="1:12" s="40" customFormat="1" ht="12.75">
      <c r="A101" s="272" t="s">
        <v>94</v>
      </c>
      <c r="B101" s="239">
        <f>SUM(B102:B104)</f>
        <v>9402694</v>
      </c>
      <c r="C101" s="239">
        <f>SUM(C102:C104)</f>
        <v>11535746.62</v>
      </c>
      <c r="D101" s="239">
        <f>SUM(D102:D104)</f>
        <v>10906.19</v>
      </c>
      <c r="E101" s="239">
        <f>SUM(E102:E104)</f>
        <v>2857378.21</v>
      </c>
      <c r="F101" s="239">
        <f t="shared" si="7"/>
        <v>8678368.41</v>
      </c>
      <c r="G101" s="239">
        <f>SUM(G102:G104)</f>
        <v>10906.19</v>
      </c>
      <c r="H101" s="239">
        <f>SUM(H102:H104)</f>
        <v>2137880.59</v>
      </c>
      <c r="I101" s="239">
        <f t="shared" si="8"/>
        <v>9397866.03</v>
      </c>
      <c r="J101" s="239">
        <f>SUM(J102:J104)</f>
        <v>1840123</v>
      </c>
      <c r="K101" s="815">
        <f>SUM(K102:K104)</f>
        <v>0</v>
      </c>
      <c r="L101" s="816"/>
    </row>
    <row r="102" spans="1:12" ht="12.75">
      <c r="A102" s="273" t="s">
        <v>95</v>
      </c>
      <c r="B102" s="734">
        <v>9060214</v>
      </c>
      <c r="C102" s="734">
        <v>11098266.62</v>
      </c>
      <c r="D102" s="734">
        <v>0</v>
      </c>
      <c r="E102" s="734">
        <v>2763608.82</v>
      </c>
      <c r="F102" s="241">
        <f t="shared" si="7"/>
        <v>8334657.799999999</v>
      </c>
      <c r="G102" s="330">
        <v>0</v>
      </c>
      <c r="H102" s="330">
        <v>2044111.2</v>
      </c>
      <c r="I102" s="50">
        <f t="shared" si="8"/>
        <v>9054155.42</v>
      </c>
      <c r="J102" s="734">
        <v>1746353.61</v>
      </c>
      <c r="K102" s="830">
        <v>0</v>
      </c>
      <c r="L102" s="831"/>
    </row>
    <row r="103" spans="1:12" ht="12.75">
      <c r="A103" s="273" t="s">
        <v>96</v>
      </c>
      <c r="B103" s="734">
        <v>337280</v>
      </c>
      <c r="C103" s="734">
        <v>337280</v>
      </c>
      <c r="D103" s="734">
        <v>0</v>
      </c>
      <c r="E103" s="734">
        <v>0</v>
      </c>
      <c r="F103" s="241">
        <f t="shared" si="7"/>
        <v>337280</v>
      </c>
      <c r="G103" s="330">
        <v>0</v>
      </c>
      <c r="H103" s="330">
        <v>0</v>
      </c>
      <c r="I103" s="50">
        <f t="shared" si="8"/>
        <v>337280</v>
      </c>
      <c r="J103" s="734">
        <v>0</v>
      </c>
      <c r="K103" s="830">
        <v>0</v>
      </c>
      <c r="L103" s="831"/>
    </row>
    <row r="104" spans="1:12" ht="12.75">
      <c r="A104" s="273" t="s">
        <v>97</v>
      </c>
      <c r="B104" s="734">
        <v>5200</v>
      </c>
      <c r="C104" s="734">
        <v>100200</v>
      </c>
      <c r="D104" s="734">
        <v>10906.19</v>
      </c>
      <c r="E104" s="734">
        <v>93769.39</v>
      </c>
      <c r="F104" s="241">
        <f t="shared" si="7"/>
        <v>6430.610000000001</v>
      </c>
      <c r="G104" s="330">
        <v>10906.19</v>
      </c>
      <c r="H104" s="330">
        <v>93769.39</v>
      </c>
      <c r="I104" s="50">
        <f t="shared" si="8"/>
        <v>6430.610000000001</v>
      </c>
      <c r="J104" s="734">
        <v>93769.39</v>
      </c>
      <c r="K104" s="830">
        <v>0</v>
      </c>
      <c r="L104" s="831"/>
    </row>
    <row r="105" spans="1:13" ht="12.75">
      <c r="A105" s="272" t="s">
        <v>98</v>
      </c>
      <c r="B105" s="734"/>
      <c r="C105" s="734"/>
      <c r="D105" s="282"/>
      <c r="E105" s="282"/>
      <c r="F105" s="275">
        <f t="shared" si="7"/>
        <v>0</v>
      </c>
      <c r="G105" s="282"/>
      <c r="H105" s="282"/>
      <c r="I105" s="275">
        <f t="shared" si="8"/>
        <v>0</v>
      </c>
      <c r="J105" s="282"/>
      <c r="K105" s="824"/>
      <c r="L105" s="825"/>
      <c r="M105" s="879"/>
    </row>
    <row r="106" spans="1:13" ht="12.75">
      <c r="A106" s="272" t="s">
        <v>99</v>
      </c>
      <c r="B106" s="276"/>
      <c r="C106" s="276"/>
      <c r="D106" s="282"/>
      <c r="E106" s="282"/>
      <c r="F106" s="276">
        <f t="shared" si="7"/>
        <v>0</v>
      </c>
      <c r="G106" s="282"/>
      <c r="H106" s="282"/>
      <c r="I106" s="276">
        <f t="shared" si="8"/>
        <v>0</v>
      </c>
      <c r="J106" s="282"/>
      <c r="K106" s="824"/>
      <c r="L106" s="825"/>
      <c r="M106" s="879"/>
    </row>
    <row r="107" spans="1:12" ht="12.75">
      <c r="A107" s="277" t="s">
        <v>100</v>
      </c>
      <c r="B107" s="752">
        <f>+B191</f>
        <v>0</v>
      </c>
      <c r="C107" s="752">
        <f aca="true" t="shared" si="9" ref="C107:J107">+C191</f>
        <v>0</v>
      </c>
      <c r="D107" s="752">
        <f t="shared" si="9"/>
        <v>0</v>
      </c>
      <c r="E107" s="752">
        <f t="shared" si="9"/>
        <v>0</v>
      </c>
      <c r="F107" s="752">
        <f t="shared" si="9"/>
        <v>0</v>
      </c>
      <c r="G107" s="752">
        <f t="shared" si="9"/>
        <v>0</v>
      </c>
      <c r="H107" s="752">
        <f t="shared" si="9"/>
        <v>0</v>
      </c>
      <c r="I107" s="752">
        <f t="shared" si="9"/>
        <v>0</v>
      </c>
      <c r="J107" s="752">
        <f t="shared" si="9"/>
        <v>0</v>
      </c>
      <c r="K107" s="832">
        <f>+K191</f>
        <v>0</v>
      </c>
      <c r="L107" s="833"/>
    </row>
    <row r="108" spans="1:12" ht="12.75">
      <c r="A108" s="158" t="s">
        <v>101</v>
      </c>
      <c r="B108" s="278">
        <f>+B94-B107</f>
        <v>31982225</v>
      </c>
      <c r="C108" s="278">
        <f>+C94-C107</f>
        <v>41919728.12</v>
      </c>
      <c r="D108" s="278">
        <f>+D94-D107</f>
        <v>2171165.72</v>
      </c>
      <c r="E108" s="278">
        <f>+E94-E107</f>
        <v>18757910.98</v>
      </c>
      <c r="F108" s="278">
        <f t="shared" si="7"/>
        <v>23161817.139999997</v>
      </c>
      <c r="G108" s="278">
        <f>+G94-G107</f>
        <v>2171165.72</v>
      </c>
      <c r="H108" s="278">
        <f>+H94-H107</f>
        <v>18038413.36</v>
      </c>
      <c r="I108" s="204">
        <f t="shared" si="8"/>
        <v>23881314.759999998</v>
      </c>
      <c r="J108" s="278">
        <f>+J107+J94</f>
        <v>14464957.36</v>
      </c>
      <c r="K108" s="817">
        <v>0</v>
      </c>
      <c r="L108" s="818"/>
    </row>
    <row r="109" spans="1:12" ht="12.75">
      <c r="A109" s="279" t="s">
        <v>433</v>
      </c>
      <c r="B109" s="753">
        <f>+B110+B113</f>
        <v>0</v>
      </c>
      <c r="C109" s="753">
        <f aca="true" t="shared" si="10" ref="C109:J109">+C110+C113</f>
        <v>0</v>
      </c>
      <c r="D109" s="753">
        <f t="shared" si="10"/>
        <v>0</v>
      </c>
      <c r="E109" s="753">
        <f t="shared" si="10"/>
        <v>0</v>
      </c>
      <c r="F109" s="753">
        <f t="shared" si="10"/>
        <v>0</v>
      </c>
      <c r="G109" s="753">
        <f t="shared" si="10"/>
        <v>0</v>
      </c>
      <c r="H109" s="753">
        <f t="shared" si="10"/>
        <v>0</v>
      </c>
      <c r="I109" s="753">
        <f t="shared" si="10"/>
        <v>0</v>
      </c>
      <c r="J109" s="753">
        <f t="shared" si="10"/>
        <v>0</v>
      </c>
      <c r="K109" s="815">
        <f>+K110+K113</f>
        <v>0</v>
      </c>
      <c r="L109" s="816"/>
    </row>
    <row r="110" spans="1:12" ht="12.75">
      <c r="A110" s="49" t="s">
        <v>3</v>
      </c>
      <c r="B110" s="241">
        <f>SUM(B111:B112)</f>
        <v>0</v>
      </c>
      <c r="C110" s="241">
        <f aca="true" t="shared" si="11" ref="C110:J110">SUM(C111:C112)</f>
        <v>0</v>
      </c>
      <c r="D110" s="241">
        <f t="shared" si="11"/>
        <v>0</v>
      </c>
      <c r="E110" s="241">
        <f t="shared" si="11"/>
        <v>0</v>
      </c>
      <c r="F110" s="241">
        <f t="shared" si="11"/>
        <v>0</v>
      </c>
      <c r="G110" s="241">
        <f t="shared" si="11"/>
        <v>0</v>
      </c>
      <c r="H110" s="241">
        <f t="shared" si="11"/>
        <v>0</v>
      </c>
      <c r="I110" s="241">
        <f t="shared" si="11"/>
        <v>0</v>
      </c>
      <c r="J110" s="241">
        <f t="shared" si="11"/>
        <v>0</v>
      </c>
      <c r="K110" s="828">
        <f>SUM(K111:K112)</f>
        <v>0</v>
      </c>
      <c r="L110" s="829"/>
    </row>
    <row r="111" spans="1:12" ht="12.75">
      <c r="A111" s="51" t="s">
        <v>1</v>
      </c>
      <c r="B111" s="330">
        <v>0</v>
      </c>
      <c r="C111" s="330">
        <v>0</v>
      </c>
      <c r="D111" s="734">
        <v>0</v>
      </c>
      <c r="E111" s="330">
        <v>0</v>
      </c>
      <c r="F111" s="191">
        <f t="shared" si="7"/>
        <v>0</v>
      </c>
      <c r="G111" s="750">
        <v>0</v>
      </c>
      <c r="H111" s="750">
        <v>0</v>
      </c>
      <c r="I111" s="205">
        <f t="shared" si="8"/>
        <v>0</v>
      </c>
      <c r="J111" s="734">
        <v>0</v>
      </c>
      <c r="K111" s="826">
        <v>0</v>
      </c>
      <c r="L111" s="827"/>
    </row>
    <row r="112" spans="1:12" ht="12.75">
      <c r="A112" s="51" t="s">
        <v>2</v>
      </c>
      <c r="B112" s="330">
        <v>0</v>
      </c>
      <c r="C112" s="330">
        <v>0</v>
      </c>
      <c r="D112" s="734">
        <v>0</v>
      </c>
      <c r="E112" s="330">
        <v>0</v>
      </c>
      <c r="F112" s="191">
        <f t="shared" si="7"/>
        <v>0</v>
      </c>
      <c r="G112" s="750">
        <v>0</v>
      </c>
      <c r="H112" s="750">
        <v>0</v>
      </c>
      <c r="I112" s="205">
        <f t="shared" si="8"/>
        <v>0</v>
      </c>
      <c r="J112" s="734">
        <v>0</v>
      </c>
      <c r="K112" s="826">
        <v>0</v>
      </c>
      <c r="L112" s="827"/>
    </row>
    <row r="113" spans="1:12" ht="12.75">
      <c r="A113" s="49" t="s">
        <v>4</v>
      </c>
      <c r="B113" s="241">
        <f>SUM(B114:B115)</f>
        <v>0</v>
      </c>
      <c r="C113" s="241">
        <f>SUM(C114:C115)</f>
        <v>0</v>
      </c>
      <c r="D113" s="241">
        <f>SUM(D114:D115)</f>
        <v>0</v>
      </c>
      <c r="E113" s="241">
        <f>SUM(E114:E115)</f>
        <v>0</v>
      </c>
      <c r="F113" s="241">
        <f t="shared" si="7"/>
        <v>0</v>
      </c>
      <c r="G113" s="241">
        <f>SUM(G114:G115)</f>
        <v>0</v>
      </c>
      <c r="H113" s="241">
        <f>SUM(H114:H115)</f>
        <v>0</v>
      </c>
      <c r="I113" s="241">
        <f t="shared" si="8"/>
        <v>0</v>
      </c>
      <c r="J113" s="241">
        <f>SUM(J114:J115)</f>
        <v>0</v>
      </c>
      <c r="K113" s="828">
        <f>SUM(K114:K115)</f>
        <v>0</v>
      </c>
      <c r="L113" s="829"/>
    </row>
    <row r="114" spans="1:12" ht="12.75">
      <c r="A114" s="51" t="s">
        <v>1</v>
      </c>
      <c r="B114" s="330">
        <v>0</v>
      </c>
      <c r="C114" s="330">
        <v>0</v>
      </c>
      <c r="D114" s="734">
        <v>0</v>
      </c>
      <c r="E114" s="330">
        <v>0</v>
      </c>
      <c r="F114" s="191">
        <f t="shared" si="7"/>
        <v>0</v>
      </c>
      <c r="G114" s="750">
        <v>0</v>
      </c>
      <c r="H114" s="750">
        <v>0</v>
      </c>
      <c r="I114" s="205">
        <f t="shared" si="8"/>
        <v>0</v>
      </c>
      <c r="J114" s="734">
        <v>0</v>
      </c>
      <c r="K114" s="826">
        <v>0</v>
      </c>
      <c r="L114" s="827"/>
    </row>
    <row r="115" spans="1:12" ht="12.75">
      <c r="A115" s="280" t="s">
        <v>2</v>
      </c>
      <c r="B115" s="330">
        <v>0</v>
      </c>
      <c r="C115" s="330">
        <v>0</v>
      </c>
      <c r="D115" s="734">
        <v>0</v>
      </c>
      <c r="E115" s="330">
        <v>0</v>
      </c>
      <c r="F115" s="191">
        <f t="shared" si="7"/>
        <v>0</v>
      </c>
      <c r="G115" s="750">
        <v>0</v>
      </c>
      <c r="H115" s="750">
        <v>0</v>
      </c>
      <c r="I115" s="205">
        <f t="shared" si="8"/>
        <v>0</v>
      </c>
      <c r="J115" s="734">
        <v>0</v>
      </c>
      <c r="K115" s="826">
        <v>0</v>
      </c>
      <c r="L115" s="827"/>
    </row>
    <row r="116" spans="1:12" ht="12.75">
      <c r="A116" s="281" t="s">
        <v>102</v>
      </c>
      <c r="B116" s="254">
        <f aca="true" t="shared" si="12" ref="B116:I116">+B108+B109</f>
        <v>31982225</v>
      </c>
      <c r="C116" s="254">
        <f t="shared" si="12"/>
        <v>41919728.12</v>
      </c>
      <c r="D116" s="254">
        <f t="shared" si="12"/>
        <v>2171165.72</v>
      </c>
      <c r="E116" s="254">
        <f t="shared" si="12"/>
        <v>18757910.98</v>
      </c>
      <c r="F116" s="254">
        <f t="shared" si="12"/>
        <v>23161817.139999997</v>
      </c>
      <c r="G116" s="254">
        <f t="shared" si="12"/>
        <v>2171165.72</v>
      </c>
      <c r="H116" s="254">
        <f t="shared" si="12"/>
        <v>18038413.36</v>
      </c>
      <c r="I116" s="254">
        <f t="shared" si="12"/>
        <v>23881314.759999998</v>
      </c>
      <c r="J116" s="254">
        <f>+J108+J109</f>
        <v>14464957.36</v>
      </c>
      <c r="K116" s="823">
        <f>+K108+K109</f>
        <v>0</v>
      </c>
      <c r="L116" s="823"/>
    </row>
    <row r="117" spans="1:12" ht="12.75">
      <c r="A117" s="158" t="s">
        <v>103</v>
      </c>
      <c r="B117" s="282"/>
      <c r="C117" s="282"/>
      <c r="D117" s="282"/>
      <c r="E117" s="749">
        <v>0</v>
      </c>
      <c r="F117" s="282"/>
      <c r="G117" s="282"/>
      <c r="H117" s="749">
        <v>1087856.12</v>
      </c>
      <c r="I117" s="282"/>
      <c r="J117" s="305">
        <v>0</v>
      </c>
      <c r="K117" s="824"/>
      <c r="L117" s="825"/>
    </row>
    <row r="118" spans="1:13" ht="12.75" customHeight="1">
      <c r="A118" s="283" t="s">
        <v>104</v>
      </c>
      <c r="B118" s="284">
        <f>+B117+B116</f>
        <v>31982225</v>
      </c>
      <c r="C118" s="284">
        <f>+C117+C116</f>
        <v>41919728.12</v>
      </c>
      <c r="D118" s="284">
        <f>+D117+D116</f>
        <v>2171165.72</v>
      </c>
      <c r="E118" s="284">
        <f>+E117+E116</f>
        <v>18757910.98</v>
      </c>
      <c r="F118" s="282"/>
      <c r="G118" s="282"/>
      <c r="H118" s="284">
        <f>+H117+H116</f>
        <v>19126269.48</v>
      </c>
      <c r="I118" s="282"/>
      <c r="J118" s="284">
        <f>+J117+J116</f>
        <v>14464957.36</v>
      </c>
      <c r="K118" s="824"/>
      <c r="L118" s="825"/>
      <c r="M118" s="285"/>
    </row>
    <row r="119" spans="1:13" ht="12.75" customHeight="1">
      <c r="A119" s="862" t="s">
        <v>518</v>
      </c>
      <c r="B119" s="862"/>
      <c r="C119" s="862"/>
      <c r="D119" s="862"/>
      <c r="E119" s="862"/>
      <c r="F119" s="862"/>
      <c r="G119" s="862"/>
      <c r="H119" s="862"/>
      <c r="I119" s="862"/>
      <c r="J119" s="862"/>
      <c r="K119" s="863"/>
      <c r="L119" s="84"/>
      <c r="M119" s="285"/>
    </row>
    <row r="120" spans="1:12" ht="12.75" customHeight="1">
      <c r="A120" s="286" t="s">
        <v>634</v>
      </c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  <c r="L120" s="84"/>
    </row>
    <row r="121" spans="1:12" ht="12.75" customHeight="1">
      <c r="A121" s="863" t="s">
        <v>636</v>
      </c>
      <c r="B121" s="863"/>
      <c r="C121" s="863"/>
      <c r="D121" s="286"/>
      <c r="E121" s="286"/>
      <c r="F121" s="286"/>
      <c r="G121" s="286"/>
      <c r="H121" s="286"/>
      <c r="I121" s="286"/>
      <c r="J121" s="286"/>
      <c r="K121" s="286"/>
      <c r="L121" s="84"/>
    </row>
    <row r="122" spans="1:12" ht="12.75" customHeight="1">
      <c r="A122" s="286"/>
      <c r="B122" s="286"/>
      <c r="C122" s="286"/>
      <c r="D122" s="286"/>
      <c r="E122" s="286"/>
      <c r="F122" s="286"/>
      <c r="G122" s="286"/>
      <c r="H122" s="287"/>
      <c r="I122" s="281"/>
      <c r="J122" s="286"/>
      <c r="K122" s="286"/>
      <c r="L122" s="84"/>
    </row>
    <row r="123" spans="1:12" s="290" customFormat="1" ht="11.25" customHeight="1">
      <c r="A123" s="288"/>
      <c r="B123" s="851" t="s">
        <v>635</v>
      </c>
      <c r="C123" s="852"/>
      <c r="D123" s="851" t="s">
        <v>281</v>
      </c>
      <c r="E123" s="852"/>
      <c r="F123" s="855" t="s">
        <v>113</v>
      </c>
      <c r="G123" s="856"/>
      <c r="H123" s="856"/>
      <c r="I123" s="856"/>
      <c r="J123" s="856"/>
      <c r="K123" s="857"/>
      <c r="L123" s="289" t="s">
        <v>179</v>
      </c>
    </row>
    <row r="124" spans="1:12" ht="11.25" customHeight="1">
      <c r="A124" s="291" t="s">
        <v>848</v>
      </c>
      <c r="B124" s="853"/>
      <c r="C124" s="854"/>
      <c r="D124" s="853"/>
      <c r="E124" s="854"/>
      <c r="F124" s="858" t="s">
        <v>117</v>
      </c>
      <c r="G124" s="859"/>
      <c r="H124" s="229" t="s">
        <v>118</v>
      </c>
      <c r="I124" s="860" t="s">
        <v>119</v>
      </c>
      <c r="J124" s="861"/>
      <c r="K124" s="230" t="s">
        <v>118</v>
      </c>
      <c r="L124" s="292"/>
    </row>
    <row r="125" spans="1:12" ht="11.25" customHeight="1">
      <c r="A125" s="293"/>
      <c r="B125" s="294"/>
      <c r="C125" s="295"/>
      <c r="D125" s="867" t="s">
        <v>120</v>
      </c>
      <c r="E125" s="868"/>
      <c r="F125" s="867" t="s">
        <v>121</v>
      </c>
      <c r="G125" s="868"/>
      <c r="H125" s="231" t="s">
        <v>122</v>
      </c>
      <c r="I125" s="867" t="s">
        <v>171</v>
      </c>
      <c r="J125" s="868"/>
      <c r="K125" s="232" t="s">
        <v>172</v>
      </c>
      <c r="L125" s="233" t="s">
        <v>173</v>
      </c>
    </row>
    <row r="126" spans="1:12" ht="11.25" customHeight="1">
      <c r="A126" s="296" t="s">
        <v>86</v>
      </c>
      <c r="B126" s="832">
        <f>+B127+B167</f>
        <v>0</v>
      </c>
      <c r="C126" s="833"/>
      <c r="D126" s="832">
        <f>+D127+D167</f>
        <v>0</v>
      </c>
      <c r="E126" s="833"/>
      <c r="F126" s="832">
        <f>+F127+F167</f>
        <v>0</v>
      </c>
      <c r="G126" s="833"/>
      <c r="H126" s="250">
        <f>IF($D126="",0,IF($D126=0,0,+F126/$D126))</f>
        <v>0</v>
      </c>
      <c r="I126" s="832">
        <f>+I127+I167</f>
        <v>0</v>
      </c>
      <c r="J126" s="833"/>
      <c r="K126" s="250">
        <f aca="true" t="shared" si="13" ref="K126:K136">IF($D126="",0,IF($D126=0,0,+I126/$D126))</f>
        <v>0</v>
      </c>
      <c r="L126" s="236">
        <f>+D126-I126</f>
        <v>0</v>
      </c>
    </row>
    <row r="127" spans="1:12" ht="11.25" customHeight="1">
      <c r="A127" s="237" t="s">
        <v>11</v>
      </c>
      <c r="B127" s="815">
        <f>+B128+B132+B136+B144+B148+B153+B154+B161</f>
        <v>0</v>
      </c>
      <c r="C127" s="816"/>
      <c r="D127" s="815">
        <f>+D128+D132+D136+D144+D148+D153+D154+D161</f>
        <v>0</v>
      </c>
      <c r="E127" s="816"/>
      <c r="F127" s="815">
        <f>+F128+F132+F136+F144+F148+F153+F154+F161</f>
        <v>0</v>
      </c>
      <c r="G127" s="816"/>
      <c r="H127" s="238">
        <f>IF($D127="",0,IF($D127=0,0,+F127/$D127))</f>
        <v>0</v>
      </c>
      <c r="I127" s="815">
        <f>+I128+I132+I136+I144+I148+I153+I154+I161</f>
        <v>0</v>
      </c>
      <c r="J127" s="816"/>
      <c r="K127" s="238">
        <f t="shared" si="13"/>
        <v>0</v>
      </c>
      <c r="L127" s="239">
        <f aca="true" t="shared" si="14" ref="L127:L186">+D127-I127</f>
        <v>0</v>
      </c>
    </row>
    <row r="128" spans="1:12" ht="11.25" customHeight="1">
      <c r="A128" s="49" t="s">
        <v>12</v>
      </c>
      <c r="B128" s="828">
        <f>SUM(B129:C131)</f>
        <v>0</v>
      </c>
      <c r="C128" s="829"/>
      <c r="D128" s="828">
        <f>SUM(D129:E131)</f>
        <v>0</v>
      </c>
      <c r="E128" s="829"/>
      <c r="F128" s="828">
        <f>SUM(F129:G131)</f>
        <v>0</v>
      </c>
      <c r="G128" s="829"/>
      <c r="H128" s="240">
        <f>IF($D128="",0,IF($D128=0,0,+F128/$D128))</f>
        <v>0</v>
      </c>
      <c r="I128" s="828">
        <f>SUM(I129:J131)</f>
        <v>0</v>
      </c>
      <c r="J128" s="829"/>
      <c r="K128" s="240">
        <f t="shared" si="13"/>
        <v>0</v>
      </c>
      <c r="L128" s="241">
        <f t="shared" si="14"/>
        <v>0</v>
      </c>
    </row>
    <row r="129" spans="1:12" ht="11.25" customHeight="1">
      <c r="A129" s="51" t="s">
        <v>13</v>
      </c>
      <c r="B129" s="826"/>
      <c r="C129" s="827"/>
      <c r="D129" s="826"/>
      <c r="E129" s="827"/>
      <c r="F129" s="826"/>
      <c r="G129" s="827"/>
      <c r="H129" s="62">
        <f>IF($D129="",0,IF($D129=0,0,+F129/$D129))</f>
        <v>0</v>
      </c>
      <c r="I129" s="826"/>
      <c r="J129" s="827"/>
      <c r="K129" s="62">
        <f t="shared" si="13"/>
        <v>0</v>
      </c>
      <c r="L129" s="191">
        <f t="shared" si="14"/>
        <v>0</v>
      </c>
    </row>
    <row r="130" spans="1:12" ht="11.25" customHeight="1">
      <c r="A130" s="51" t="s">
        <v>14</v>
      </c>
      <c r="B130" s="826"/>
      <c r="C130" s="827"/>
      <c r="D130" s="826"/>
      <c r="E130" s="827"/>
      <c r="F130" s="826"/>
      <c r="G130" s="827"/>
      <c r="H130" s="62">
        <f aca="true" t="shared" si="15" ref="H130:H186">IF(D130="",0,IF(D130=0,0,+F130/D130))</f>
        <v>0</v>
      </c>
      <c r="I130" s="826"/>
      <c r="J130" s="827"/>
      <c r="K130" s="62">
        <f t="shared" si="13"/>
        <v>0</v>
      </c>
      <c r="L130" s="191">
        <f t="shared" si="14"/>
        <v>0</v>
      </c>
    </row>
    <row r="131" spans="1:12" ht="11.25" customHeight="1">
      <c r="A131" s="51" t="s">
        <v>15</v>
      </c>
      <c r="B131" s="826"/>
      <c r="C131" s="827"/>
      <c r="D131" s="826"/>
      <c r="E131" s="827"/>
      <c r="F131" s="826"/>
      <c r="G131" s="827"/>
      <c r="H131" s="62">
        <f t="shared" si="15"/>
        <v>0</v>
      </c>
      <c r="I131" s="826"/>
      <c r="J131" s="827"/>
      <c r="K131" s="62">
        <f t="shared" si="13"/>
        <v>0</v>
      </c>
      <c r="L131" s="191">
        <f t="shared" si="14"/>
        <v>0</v>
      </c>
    </row>
    <row r="132" spans="1:12" ht="11.25" customHeight="1">
      <c r="A132" s="49" t="s">
        <v>16</v>
      </c>
      <c r="B132" s="828">
        <f>SUM(B133:C135)</f>
        <v>0</v>
      </c>
      <c r="C132" s="829"/>
      <c r="D132" s="828">
        <f>SUM(D133:E135)</f>
        <v>0</v>
      </c>
      <c r="E132" s="829"/>
      <c r="F132" s="828">
        <f>SUM(F133:G135)</f>
        <v>0</v>
      </c>
      <c r="G132" s="829"/>
      <c r="H132" s="240">
        <f t="shared" si="15"/>
        <v>0</v>
      </c>
      <c r="I132" s="828">
        <f>SUM(I133:J135)</f>
        <v>0</v>
      </c>
      <c r="J132" s="829"/>
      <c r="K132" s="240">
        <f t="shared" si="13"/>
        <v>0</v>
      </c>
      <c r="L132" s="241">
        <f t="shared" si="14"/>
        <v>0</v>
      </c>
    </row>
    <row r="133" spans="1:12" ht="11.25" customHeight="1">
      <c r="A133" s="51" t="s">
        <v>17</v>
      </c>
      <c r="B133" s="826"/>
      <c r="C133" s="827"/>
      <c r="D133" s="826"/>
      <c r="E133" s="827"/>
      <c r="F133" s="826"/>
      <c r="G133" s="827"/>
      <c r="H133" s="62">
        <f t="shared" si="15"/>
        <v>0</v>
      </c>
      <c r="I133" s="826"/>
      <c r="J133" s="827"/>
      <c r="K133" s="62">
        <f t="shared" si="13"/>
        <v>0</v>
      </c>
      <c r="L133" s="191">
        <f t="shared" si="14"/>
        <v>0</v>
      </c>
    </row>
    <row r="134" spans="1:12" ht="11.25" customHeight="1">
      <c r="A134" s="51" t="s">
        <v>427</v>
      </c>
      <c r="B134" s="826"/>
      <c r="C134" s="827"/>
      <c r="D134" s="826"/>
      <c r="E134" s="827"/>
      <c r="F134" s="826"/>
      <c r="G134" s="827"/>
      <c r="H134" s="62">
        <f t="shared" si="15"/>
        <v>0</v>
      </c>
      <c r="I134" s="826"/>
      <c r="J134" s="827"/>
      <c r="K134" s="62">
        <f t="shared" si="13"/>
        <v>0</v>
      </c>
      <c r="L134" s="191">
        <f t="shared" si="14"/>
        <v>0</v>
      </c>
    </row>
    <row r="135" spans="1:12" ht="11.25" customHeight="1">
      <c r="A135" s="51" t="s">
        <v>428</v>
      </c>
      <c r="B135" s="826"/>
      <c r="C135" s="827"/>
      <c r="D135" s="826"/>
      <c r="E135" s="827"/>
      <c r="F135" s="826"/>
      <c r="G135" s="827"/>
      <c r="H135" s="62">
        <f t="shared" si="15"/>
        <v>0</v>
      </c>
      <c r="I135" s="826"/>
      <c r="J135" s="827"/>
      <c r="K135" s="62">
        <f t="shared" si="13"/>
        <v>0</v>
      </c>
      <c r="L135" s="191">
        <f t="shared" si="14"/>
        <v>0</v>
      </c>
    </row>
    <row r="136" spans="1:12" ht="11.25" customHeight="1">
      <c r="A136" s="49" t="s">
        <v>18</v>
      </c>
      <c r="B136" s="828">
        <f>SUM(B137:C143)</f>
        <v>0</v>
      </c>
      <c r="C136" s="829"/>
      <c r="D136" s="828">
        <f>SUM(D137:E143)</f>
        <v>0</v>
      </c>
      <c r="E136" s="829"/>
      <c r="F136" s="828">
        <f>SUM(F137:G143)</f>
        <v>0</v>
      </c>
      <c r="G136" s="829"/>
      <c r="H136" s="240">
        <f t="shared" si="15"/>
        <v>0</v>
      </c>
      <c r="I136" s="828">
        <f>SUM(I137:J143)</f>
        <v>0</v>
      </c>
      <c r="J136" s="829"/>
      <c r="K136" s="240">
        <f t="shared" si="13"/>
        <v>0</v>
      </c>
      <c r="L136" s="241">
        <f t="shared" si="14"/>
        <v>0</v>
      </c>
    </row>
    <row r="137" spans="1:12" ht="11.25" customHeight="1">
      <c r="A137" s="51" t="s">
        <v>19</v>
      </c>
      <c r="B137" s="826"/>
      <c r="C137" s="827"/>
      <c r="D137" s="826"/>
      <c r="E137" s="827"/>
      <c r="F137" s="826"/>
      <c r="G137" s="827"/>
      <c r="H137" s="62">
        <f t="shared" si="15"/>
        <v>0</v>
      </c>
      <c r="I137" s="826"/>
      <c r="J137" s="827"/>
      <c r="K137" s="62">
        <f aca="true" t="shared" si="16" ref="K137:K143">IF($D137="",0,IF($D137=0,0,+I137/$D137))</f>
        <v>0</v>
      </c>
      <c r="L137" s="191">
        <f t="shared" si="14"/>
        <v>0</v>
      </c>
    </row>
    <row r="138" spans="1:12" ht="11.25" customHeight="1">
      <c r="A138" s="51" t="s">
        <v>20</v>
      </c>
      <c r="B138" s="826"/>
      <c r="C138" s="827"/>
      <c r="D138" s="826"/>
      <c r="E138" s="827"/>
      <c r="F138" s="826"/>
      <c r="G138" s="827"/>
      <c r="H138" s="62">
        <f t="shared" si="15"/>
        <v>0</v>
      </c>
      <c r="I138" s="826"/>
      <c r="J138" s="827"/>
      <c r="K138" s="62">
        <f t="shared" si="16"/>
        <v>0</v>
      </c>
      <c r="L138" s="191">
        <f t="shared" si="14"/>
        <v>0</v>
      </c>
    </row>
    <row r="139" spans="1:12" ht="11.25" customHeight="1">
      <c r="A139" s="51" t="s">
        <v>21</v>
      </c>
      <c r="B139" s="826"/>
      <c r="C139" s="827"/>
      <c r="D139" s="826"/>
      <c r="E139" s="827"/>
      <c r="F139" s="826"/>
      <c r="G139" s="827"/>
      <c r="H139" s="62">
        <f t="shared" si="15"/>
        <v>0</v>
      </c>
      <c r="I139" s="826"/>
      <c r="J139" s="827"/>
      <c r="K139" s="62">
        <f t="shared" si="16"/>
        <v>0</v>
      </c>
      <c r="L139" s="191">
        <f t="shared" si="14"/>
        <v>0</v>
      </c>
    </row>
    <row r="140" spans="1:12" ht="10.5" customHeight="1">
      <c r="A140" s="51" t="s">
        <v>123</v>
      </c>
      <c r="B140" s="826"/>
      <c r="C140" s="827"/>
      <c r="D140" s="826"/>
      <c r="E140" s="827"/>
      <c r="F140" s="826"/>
      <c r="G140" s="827"/>
      <c r="H140" s="62">
        <f t="shared" si="15"/>
        <v>0</v>
      </c>
      <c r="I140" s="826"/>
      <c r="J140" s="827"/>
      <c r="K140" s="62">
        <f t="shared" si="16"/>
        <v>0</v>
      </c>
      <c r="L140" s="191">
        <f t="shared" si="14"/>
        <v>0</v>
      </c>
    </row>
    <row r="141" spans="1:12" ht="23.25" customHeight="1">
      <c r="A141" s="242" t="s">
        <v>460</v>
      </c>
      <c r="B141" s="840"/>
      <c r="C141" s="841"/>
      <c r="D141" s="840"/>
      <c r="E141" s="841"/>
      <c r="F141" s="840"/>
      <c r="G141" s="841"/>
      <c r="H141" s="243">
        <f t="shared" si="15"/>
        <v>0</v>
      </c>
      <c r="I141" s="840"/>
      <c r="J141" s="841"/>
      <c r="K141" s="243">
        <f t="shared" si="16"/>
        <v>0</v>
      </c>
      <c r="L141" s="174">
        <f t="shared" si="14"/>
        <v>0</v>
      </c>
    </row>
    <row r="142" spans="1:12" ht="11.25" customHeight="1">
      <c r="A142" s="244" t="s">
        <v>461</v>
      </c>
      <c r="B142" s="826"/>
      <c r="C142" s="827"/>
      <c r="D142" s="826"/>
      <c r="E142" s="827"/>
      <c r="F142" s="826"/>
      <c r="G142" s="827"/>
      <c r="H142" s="62">
        <f t="shared" si="15"/>
        <v>0</v>
      </c>
      <c r="I142" s="826"/>
      <c r="J142" s="827"/>
      <c r="K142" s="62">
        <f t="shared" si="16"/>
        <v>0</v>
      </c>
      <c r="L142" s="191">
        <f t="shared" si="14"/>
        <v>0</v>
      </c>
    </row>
    <row r="143" spans="1:12" ht="11.25" customHeight="1">
      <c r="A143" s="51" t="s">
        <v>22</v>
      </c>
      <c r="B143" s="826"/>
      <c r="C143" s="827"/>
      <c r="D143" s="826"/>
      <c r="E143" s="827"/>
      <c r="F143" s="826"/>
      <c r="G143" s="827"/>
      <c r="H143" s="62">
        <f t="shared" si="15"/>
        <v>0</v>
      </c>
      <c r="I143" s="826"/>
      <c r="J143" s="827"/>
      <c r="K143" s="62">
        <f t="shared" si="16"/>
        <v>0</v>
      </c>
      <c r="L143" s="191">
        <f t="shared" si="14"/>
        <v>0</v>
      </c>
    </row>
    <row r="144" spans="1:12" ht="11.25" customHeight="1">
      <c r="A144" s="49" t="s">
        <v>23</v>
      </c>
      <c r="B144" s="828">
        <f>SUM(B145:C147)</f>
        <v>0</v>
      </c>
      <c r="C144" s="829"/>
      <c r="D144" s="828">
        <f>SUM(D145:E147)</f>
        <v>0</v>
      </c>
      <c r="E144" s="829"/>
      <c r="F144" s="828">
        <f>SUM(F145:G147)</f>
        <v>0</v>
      </c>
      <c r="G144" s="829"/>
      <c r="H144" s="240">
        <f t="shared" si="15"/>
        <v>0</v>
      </c>
      <c r="I144" s="828">
        <f>SUM(I145:J147)</f>
        <v>0</v>
      </c>
      <c r="J144" s="829"/>
      <c r="K144" s="240">
        <f>IF($D144="",0,IF($D144=0,0,+I144/$D144))</f>
        <v>0</v>
      </c>
      <c r="L144" s="241">
        <f t="shared" si="14"/>
        <v>0</v>
      </c>
    </row>
    <row r="145" spans="1:12" ht="11.25" customHeight="1">
      <c r="A145" s="51" t="s">
        <v>24</v>
      </c>
      <c r="B145" s="826"/>
      <c r="C145" s="827"/>
      <c r="D145" s="826"/>
      <c r="E145" s="827"/>
      <c r="F145" s="826"/>
      <c r="G145" s="827"/>
      <c r="H145" s="62">
        <f t="shared" si="15"/>
        <v>0</v>
      </c>
      <c r="I145" s="826"/>
      <c r="J145" s="827"/>
      <c r="K145" s="62">
        <f>IF($D145="",0,IF($D145=0,0,+I145/$D145))</f>
        <v>0</v>
      </c>
      <c r="L145" s="191">
        <f t="shared" si="14"/>
        <v>0</v>
      </c>
    </row>
    <row r="146" spans="1:12" ht="11.25" customHeight="1">
      <c r="A146" s="51" t="s">
        <v>25</v>
      </c>
      <c r="B146" s="826"/>
      <c r="C146" s="827"/>
      <c r="D146" s="826"/>
      <c r="E146" s="827"/>
      <c r="F146" s="826"/>
      <c r="G146" s="827"/>
      <c r="H146" s="62">
        <f t="shared" si="15"/>
        <v>0</v>
      </c>
      <c r="I146" s="826"/>
      <c r="J146" s="827"/>
      <c r="K146" s="62">
        <f>IF($D146="",0,IF($D146=0,0,+I146/$D146))</f>
        <v>0</v>
      </c>
      <c r="L146" s="191">
        <f t="shared" si="14"/>
        <v>0</v>
      </c>
    </row>
    <row r="147" spans="1:12" ht="11.25" customHeight="1">
      <c r="A147" s="51" t="s">
        <v>26</v>
      </c>
      <c r="B147" s="826"/>
      <c r="C147" s="827"/>
      <c r="D147" s="826"/>
      <c r="E147" s="827"/>
      <c r="F147" s="826"/>
      <c r="G147" s="827"/>
      <c r="H147" s="62">
        <f t="shared" si="15"/>
        <v>0</v>
      </c>
      <c r="I147" s="826"/>
      <c r="J147" s="827"/>
      <c r="K147" s="62">
        <f>IF($D147="",0,IF($D147=0,0,+I147/$D147))</f>
        <v>0</v>
      </c>
      <c r="L147" s="191">
        <f t="shared" si="14"/>
        <v>0</v>
      </c>
    </row>
    <row r="148" spans="1:12" ht="11.25" customHeight="1">
      <c r="A148" s="49" t="s">
        <v>27</v>
      </c>
      <c r="B148" s="828">
        <f>SUM(B149:C152)</f>
        <v>0</v>
      </c>
      <c r="C148" s="829"/>
      <c r="D148" s="828">
        <f>SUM(D149:E152)</f>
        <v>0</v>
      </c>
      <c r="E148" s="829"/>
      <c r="F148" s="828">
        <f>SUM(F149:G152)</f>
        <v>0</v>
      </c>
      <c r="G148" s="829"/>
      <c r="H148" s="240">
        <f t="shared" si="15"/>
        <v>0</v>
      </c>
      <c r="I148" s="828">
        <f>SUM(I149:J152)</f>
        <v>0</v>
      </c>
      <c r="J148" s="829"/>
      <c r="K148" s="240">
        <f>IF($D148="",0,IF($D148=0,0,+I148/$D148))</f>
        <v>0</v>
      </c>
      <c r="L148" s="241">
        <f t="shared" si="14"/>
        <v>0</v>
      </c>
    </row>
    <row r="149" spans="1:12" ht="11.25" customHeight="1">
      <c r="A149" s="51" t="s">
        <v>462</v>
      </c>
      <c r="B149" s="826"/>
      <c r="C149" s="827"/>
      <c r="D149" s="826"/>
      <c r="E149" s="827"/>
      <c r="F149" s="826"/>
      <c r="G149" s="827"/>
      <c r="H149" s="62">
        <f t="shared" si="15"/>
        <v>0</v>
      </c>
      <c r="I149" s="826"/>
      <c r="J149" s="827"/>
      <c r="K149" s="62">
        <f aca="true" t="shared" si="17" ref="K149:K154">IF($D149="",0,IF($D149=0,0,+I149/$D149))</f>
        <v>0</v>
      </c>
      <c r="L149" s="191">
        <f t="shared" si="14"/>
        <v>0</v>
      </c>
    </row>
    <row r="150" spans="1:12" ht="11.25" customHeight="1">
      <c r="A150" s="51" t="s">
        <v>28</v>
      </c>
      <c r="B150" s="826"/>
      <c r="C150" s="827"/>
      <c r="D150" s="826"/>
      <c r="E150" s="827"/>
      <c r="F150" s="826"/>
      <c r="G150" s="827"/>
      <c r="H150" s="62">
        <f t="shared" si="15"/>
        <v>0</v>
      </c>
      <c r="I150" s="826"/>
      <c r="J150" s="827"/>
      <c r="K150" s="62">
        <f t="shared" si="17"/>
        <v>0</v>
      </c>
      <c r="L150" s="191">
        <f t="shared" si="14"/>
        <v>0</v>
      </c>
    </row>
    <row r="151" spans="1:12" ht="11.25" customHeight="1">
      <c r="A151" s="51" t="s">
        <v>29</v>
      </c>
      <c r="B151" s="826"/>
      <c r="C151" s="827"/>
      <c r="D151" s="826"/>
      <c r="E151" s="827"/>
      <c r="F151" s="826"/>
      <c r="G151" s="827"/>
      <c r="H151" s="62">
        <f t="shared" si="15"/>
        <v>0</v>
      </c>
      <c r="I151" s="826"/>
      <c r="J151" s="827"/>
      <c r="K151" s="62">
        <f t="shared" si="17"/>
        <v>0</v>
      </c>
      <c r="L151" s="191">
        <f t="shared" si="14"/>
        <v>0</v>
      </c>
    </row>
    <row r="152" spans="1:12" ht="11.25" customHeight="1">
      <c r="A152" s="245" t="s">
        <v>30</v>
      </c>
      <c r="B152" s="826"/>
      <c r="C152" s="827"/>
      <c r="D152" s="826"/>
      <c r="E152" s="827"/>
      <c r="F152" s="826"/>
      <c r="G152" s="827"/>
      <c r="H152" s="62">
        <f t="shared" si="15"/>
        <v>0</v>
      </c>
      <c r="I152" s="826"/>
      <c r="J152" s="827"/>
      <c r="K152" s="62">
        <f t="shared" si="17"/>
        <v>0</v>
      </c>
      <c r="L152" s="191">
        <f t="shared" si="14"/>
        <v>0</v>
      </c>
    </row>
    <row r="153" spans="1:12" ht="11.25" customHeight="1">
      <c r="A153" s="49" t="s">
        <v>31</v>
      </c>
      <c r="B153" s="826"/>
      <c r="C153" s="827"/>
      <c r="D153" s="826"/>
      <c r="E153" s="827"/>
      <c r="F153" s="826"/>
      <c r="G153" s="827"/>
      <c r="H153" s="240">
        <f t="shared" si="15"/>
        <v>0</v>
      </c>
      <c r="I153" s="826"/>
      <c r="J153" s="827"/>
      <c r="K153" s="240">
        <f t="shared" si="17"/>
        <v>0</v>
      </c>
      <c r="L153" s="241">
        <f t="shared" si="14"/>
        <v>0</v>
      </c>
    </row>
    <row r="154" spans="1:12" ht="11.25" customHeight="1">
      <c r="A154" s="49" t="s">
        <v>32</v>
      </c>
      <c r="B154" s="828">
        <f>SUM(B155:C160)</f>
        <v>0</v>
      </c>
      <c r="C154" s="829"/>
      <c r="D154" s="828">
        <f>SUM(D155:E160)</f>
        <v>0</v>
      </c>
      <c r="E154" s="829"/>
      <c r="F154" s="828">
        <f>SUM(F155:G160)</f>
        <v>0</v>
      </c>
      <c r="G154" s="829"/>
      <c r="H154" s="240">
        <f t="shared" si="15"/>
        <v>0</v>
      </c>
      <c r="I154" s="828">
        <f>SUM(I155:J160)</f>
        <v>0</v>
      </c>
      <c r="J154" s="829"/>
      <c r="K154" s="240">
        <f t="shared" si="17"/>
        <v>0</v>
      </c>
      <c r="L154" s="241">
        <f t="shared" si="14"/>
        <v>0</v>
      </c>
    </row>
    <row r="155" spans="1:12" ht="11.25" customHeight="1">
      <c r="A155" s="51" t="s">
        <v>33</v>
      </c>
      <c r="B155" s="826"/>
      <c r="C155" s="827"/>
      <c r="D155" s="826"/>
      <c r="E155" s="827"/>
      <c r="F155" s="826"/>
      <c r="G155" s="827"/>
      <c r="H155" s="62">
        <f t="shared" si="15"/>
        <v>0</v>
      </c>
      <c r="I155" s="826"/>
      <c r="J155" s="827"/>
      <c r="K155" s="62">
        <f aca="true" t="shared" si="18" ref="K155:K160">IF($D155="",0,IF($D155=0,0,+I155/$D155))</f>
        <v>0</v>
      </c>
      <c r="L155" s="191">
        <f t="shared" si="14"/>
        <v>0</v>
      </c>
    </row>
    <row r="156" spans="1:12" ht="11.25" customHeight="1">
      <c r="A156" s="51" t="s">
        <v>34</v>
      </c>
      <c r="B156" s="826"/>
      <c r="C156" s="827"/>
      <c r="D156" s="826"/>
      <c r="E156" s="827"/>
      <c r="F156" s="826"/>
      <c r="G156" s="827"/>
      <c r="H156" s="62">
        <f t="shared" si="15"/>
        <v>0</v>
      </c>
      <c r="I156" s="826"/>
      <c r="J156" s="827"/>
      <c r="K156" s="62">
        <f t="shared" si="18"/>
        <v>0</v>
      </c>
      <c r="L156" s="191">
        <f t="shared" si="14"/>
        <v>0</v>
      </c>
    </row>
    <row r="157" spans="1:12" ht="11.25" customHeight="1">
      <c r="A157" s="51" t="s">
        <v>35</v>
      </c>
      <c r="B157" s="826"/>
      <c r="C157" s="827"/>
      <c r="D157" s="826"/>
      <c r="E157" s="827"/>
      <c r="F157" s="826"/>
      <c r="G157" s="827"/>
      <c r="H157" s="62">
        <f t="shared" si="15"/>
        <v>0</v>
      </c>
      <c r="I157" s="826"/>
      <c r="J157" s="827"/>
      <c r="K157" s="62">
        <f t="shared" si="18"/>
        <v>0</v>
      </c>
      <c r="L157" s="191">
        <f t="shared" si="14"/>
        <v>0</v>
      </c>
    </row>
    <row r="158" spans="1:12" ht="11.25" customHeight="1">
      <c r="A158" s="51" t="s">
        <v>36</v>
      </c>
      <c r="B158" s="826"/>
      <c r="C158" s="827"/>
      <c r="D158" s="826"/>
      <c r="E158" s="827"/>
      <c r="F158" s="826"/>
      <c r="G158" s="827"/>
      <c r="H158" s="62">
        <f t="shared" si="15"/>
        <v>0</v>
      </c>
      <c r="I158" s="826"/>
      <c r="J158" s="827"/>
      <c r="K158" s="62">
        <f t="shared" si="18"/>
        <v>0</v>
      </c>
      <c r="L158" s="191">
        <f t="shared" si="14"/>
        <v>0</v>
      </c>
    </row>
    <row r="159" spans="1:12" ht="11.25" customHeight="1">
      <c r="A159" s="51" t="s">
        <v>37</v>
      </c>
      <c r="B159" s="826"/>
      <c r="C159" s="827"/>
      <c r="D159" s="826"/>
      <c r="E159" s="827"/>
      <c r="F159" s="826"/>
      <c r="G159" s="827"/>
      <c r="H159" s="62">
        <f t="shared" si="15"/>
        <v>0</v>
      </c>
      <c r="I159" s="826"/>
      <c r="J159" s="827"/>
      <c r="K159" s="62">
        <f t="shared" si="18"/>
        <v>0</v>
      </c>
      <c r="L159" s="191">
        <f t="shared" si="14"/>
        <v>0</v>
      </c>
    </row>
    <row r="160" spans="1:12" ht="11.25" customHeight="1">
      <c r="A160" s="246" t="s">
        <v>38</v>
      </c>
      <c r="B160" s="826"/>
      <c r="C160" s="827"/>
      <c r="D160" s="826"/>
      <c r="E160" s="827"/>
      <c r="F160" s="826"/>
      <c r="G160" s="827"/>
      <c r="H160" s="62">
        <f t="shared" si="15"/>
        <v>0</v>
      </c>
      <c r="I160" s="826"/>
      <c r="J160" s="827"/>
      <c r="K160" s="62">
        <f t="shared" si="18"/>
        <v>0</v>
      </c>
      <c r="L160" s="191">
        <f t="shared" si="14"/>
        <v>0</v>
      </c>
    </row>
    <row r="161" spans="1:12" ht="11.25" customHeight="1">
      <c r="A161" s="49" t="s">
        <v>39</v>
      </c>
      <c r="B161" s="828">
        <f>SUM(B162:C166)</f>
        <v>0</v>
      </c>
      <c r="C161" s="829"/>
      <c r="D161" s="828">
        <f>SUM(D162:E166)</f>
        <v>0</v>
      </c>
      <c r="E161" s="829"/>
      <c r="F161" s="828">
        <f>SUM(F162:G166)</f>
        <v>0</v>
      </c>
      <c r="G161" s="829"/>
      <c r="H161" s="240">
        <f t="shared" si="15"/>
        <v>0</v>
      </c>
      <c r="I161" s="828">
        <f>SUM(I162:J166)</f>
        <v>0</v>
      </c>
      <c r="J161" s="829"/>
      <c r="K161" s="240">
        <f aca="true" t="shared" si="19" ref="K161:K175">IF($D161="",0,IF($D161=0,0,+I161/$D161))</f>
        <v>0</v>
      </c>
      <c r="L161" s="241">
        <f t="shared" si="14"/>
        <v>0</v>
      </c>
    </row>
    <row r="162" spans="1:12" ht="11.25" customHeight="1">
      <c r="A162" s="51" t="s">
        <v>40</v>
      </c>
      <c r="B162" s="826"/>
      <c r="C162" s="827"/>
      <c r="D162" s="826"/>
      <c r="E162" s="827"/>
      <c r="F162" s="826"/>
      <c r="G162" s="827"/>
      <c r="H162" s="62">
        <f t="shared" si="15"/>
        <v>0</v>
      </c>
      <c r="I162" s="826"/>
      <c r="J162" s="827"/>
      <c r="K162" s="62">
        <f t="shared" si="19"/>
        <v>0</v>
      </c>
      <c r="L162" s="191">
        <f t="shared" si="14"/>
        <v>0</v>
      </c>
    </row>
    <row r="163" spans="1:12" ht="11.25" customHeight="1">
      <c r="A163" s="51" t="s">
        <v>41</v>
      </c>
      <c r="B163" s="826"/>
      <c r="C163" s="827"/>
      <c r="D163" s="826"/>
      <c r="E163" s="827"/>
      <c r="F163" s="826"/>
      <c r="G163" s="827"/>
      <c r="H163" s="62">
        <f t="shared" si="15"/>
        <v>0</v>
      </c>
      <c r="I163" s="826"/>
      <c r="J163" s="827"/>
      <c r="K163" s="62">
        <f t="shared" si="19"/>
        <v>0</v>
      </c>
      <c r="L163" s="191">
        <f t="shared" si="14"/>
        <v>0</v>
      </c>
    </row>
    <row r="164" spans="1:12" ht="11.25" customHeight="1">
      <c r="A164" s="51" t="s">
        <v>42</v>
      </c>
      <c r="B164" s="826"/>
      <c r="C164" s="827"/>
      <c r="D164" s="826"/>
      <c r="E164" s="827"/>
      <c r="F164" s="826"/>
      <c r="G164" s="827"/>
      <c r="H164" s="62">
        <f t="shared" si="15"/>
        <v>0</v>
      </c>
      <c r="I164" s="826"/>
      <c r="J164" s="827"/>
      <c r="K164" s="62">
        <f t="shared" si="19"/>
        <v>0</v>
      </c>
      <c r="L164" s="191">
        <f t="shared" si="14"/>
        <v>0</v>
      </c>
    </row>
    <row r="165" spans="1:12" ht="24" customHeight="1">
      <c r="A165" s="242" t="s">
        <v>463</v>
      </c>
      <c r="B165" s="840"/>
      <c r="C165" s="841"/>
      <c r="D165" s="840"/>
      <c r="E165" s="841"/>
      <c r="F165" s="840"/>
      <c r="G165" s="841"/>
      <c r="H165" s="243">
        <f t="shared" si="15"/>
        <v>0</v>
      </c>
      <c r="I165" s="840"/>
      <c r="J165" s="841"/>
      <c r="K165" s="243">
        <f t="shared" si="19"/>
        <v>0</v>
      </c>
      <c r="L165" s="174">
        <f t="shared" si="14"/>
        <v>0</v>
      </c>
    </row>
    <row r="166" spans="1:12" ht="11.25" customHeight="1">
      <c r="A166" s="246" t="s">
        <v>57</v>
      </c>
      <c r="B166" s="826"/>
      <c r="C166" s="827"/>
      <c r="D166" s="826"/>
      <c r="E166" s="827"/>
      <c r="F166" s="826"/>
      <c r="G166" s="827"/>
      <c r="H166" s="62">
        <f t="shared" si="15"/>
        <v>0</v>
      </c>
      <c r="I166" s="826"/>
      <c r="J166" s="827"/>
      <c r="K166" s="62">
        <f t="shared" si="19"/>
        <v>0</v>
      </c>
      <c r="L166" s="191">
        <f t="shared" si="14"/>
        <v>0</v>
      </c>
    </row>
    <row r="167" spans="1:12" ht="11.25" customHeight="1">
      <c r="A167" s="237" t="s">
        <v>43</v>
      </c>
      <c r="B167" s="815">
        <f>+B168+B171+B174+B175+B183</f>
        <v>0</v>
      </c>
      <c r="C167" s="816"/>
      <c r="D167" s="815">
        <f>+D168+D171+D174+D175+D183</f>
        <v>0</v>
      </c>
      <c r="E167" s="816"/>
      <c r="F167" s="815">
        <f>+F168+F171+F174+F175+F183</f>
        <v>0</v>
      </c>
      <c r="G167" s="816"/>
      <c r="H167" s="238">
        <f t="shared" si="15"/>
        <v>0</v>
      </c>
      <c r="I167" s="815">
        <f>+I168+I171+I174+I175+I183</f>
        <v>0</v>
      </c>
      <c r="J167" s="816"/>
      <c r="K167" s="238">
        <f t="shared" si="19"/>
        <v>0</v>
      </c>
      <c r="L167" s="239">
        <f t="shared" si="14"/>
        <v>0</v>
      </c>
    </row>
    <row r="168" spans="1:12" ht="11.25" customHeight="1">
      <c r="A168" s="49" t="s">
        <v>44</v>
      </c>
      <c r="B168" s="828">
        <f>SUM(B169:C170)</f>
        <v>0</v>
      </c>
      <c r="C168" s="829"/>
      <c r="D168" s="828">
        <f>SUM(D169:E170)</f>
        <v>0</v>
      </c>
      <c r="E168" s="829"/>
      <c r="F168" s="828">
        <f>SUM(F169:G170)</f>
        <v>0</v>
      </c>
      <c r="G168" s="829"/>
      <c r="H168" s="240">
        <f t="shared" si="15"/>
        <v>0</v>
      </c>
      <c r="I168" s="828">
        <f>SUM(I169:J170)</f>
        <v>0</v>
      </c>
      <c r="J168" s="829"/>
      <c r="K168" s="240">
        <f t="shared" si="19"/>
        <v>0</v>
      </c>
      <c r="L168" s="241">
        <f t="shared" si="14"/>
        <v>0</v>
      </c>
    </row>
    <row r="169" spans="1:12" ht="11.25" customHeight="1">
      <c r="A169" s="51" t="s">
        <v>45</v>
      </c>
      <c r="B169" s="826"/>
      <c r="C169" s="827"/>
      <c r="D169" s="826"/>
      <c r="E169" s="827"/>
      <c r="F169" s="826"/>
      <c r="G169" s="827"/>
      <c r="H169" s="62">
        <f t="shared" si="15"/>
        <v>0</v>
      </c>
      <c r="I169" s="826"/>
      <c r="J169" s="827"/>
      <c r="K169" s="62">
        <f t="shared" si="19"/>
        <v>0</v>
      </c>
      <c r="L169" s="191">
        <f t="shared" si="14"/>
        <v>0</v>
      </c>
    </row>
    <row r="170" spans="1:12" ht="11.25" customHeight="1">
      <c r="A170" s="51" t="s">
        <v>46</v>
      </c>
      <c r="B170" s="826"/>
      <c r="C170" s="827"/>
      <c r="D170" s="826"/>
      <c r="E170" s="827"/>
      <c r="F170" s="826"/>
      <c r="G170" s="827"/>
      <c r="H170" s="62">
        <f t="shared" si="15"/>
        <v>0</v>
      </c>
      <c r="I170" s="826"/>
      <c r="J170" s="827"/>
      <c r="K170" s="62">
        <f t="shared" si="19"/>
        <v>0</v>
      </c>
      <c r="L170" s="191">
        <f t="shared" si="14"/>
        <v>0</v>
      </c>
    </row>
    <row r="171" spans="1:12" ht="11.25" customHeight="1">
      <c r="A171" s="49" t="s">
        <v>47</v>
      </c>
      <c r="B171" s="828">
        <f>SUM(B172:C173)</f>
        <v>0</v>
      </c>
      <c r="C171" s="829"/>
      <c r="D171" s="828">
        <f>SUM(D172:E173)</f>
        <v>0</v>
      </c>
      <c r="E171" s="829"/>
      <c r="F171" s="828">
        <f>SUM(F172:G173)</f>
        <v>0</v>
      </c>
      <c r="G171" s="829"/>
      <c r="H171" s="240">
        <f t="shared" si="15"/>
        <v>0</v>
      </c>
      <c r="I171" s="828">
        <f>SUM(I172:J173)</f>
        <v>0</v>
      </c>
      <c r="J171" s="829"/>
      <c r="K171" s="240">
        <f t="shared" si="19"/>
        <v>0</v>
      </c>
      <c r="L171" s="241">
        <f t="shared" si="14"/>
        <v>0</v>
      </c>
    </row>
    <row r="172" spans="1:12" ht="11.25" customHeight="1">
      <c r="A172" s="51" t="s">
        <v>48</v>
      </c>
      <c r="B172" s="826"/>
      <c r="C172" s="827"/>
      <c r="D172" s="826"/>
      <c r="E172" s="827"/>
      <c r="F172" s="826"/>
      <c r="G172" s="827"/>
      <c r="H172" s="62">
        <f t="shared" si="15"/>
        <v>0</v>
      </c>
      <c r="I172" s="826"/>
      <c r="J172" s="827"/>
      <c r="K172" s="62">
        <f t="shared" si="19"/>
        <v>0</v>
      </c>
      <c r="L172" s="191">
        <f t="shared" si="14"/>
        <v>0</v>
      </c>
    </row>
    <row r="173" spans="1:12" ht="11.25" customHeight="1">
      <c r="A173" s="51" t="s">
        <v>49</v>
      </c>
      <c r="B173" s="826"/>
      <c r="C173" s="827"/>
      <c r="D173" s="826"/>
      <c r="E173" s="827"/>
      <c r="F173" s="826"/>
      <c r="G173" s="827"/>
      <c r="H173" s="62">
        <f t="shared" si="15"/>
        <v>0</v>
      </c>
      <c r="I173" s="826"/>
      <c r="J173" s="827"/>
      <c r="K173" s="62">
        <f t="shared" si="19"/>
        <v>0</v>
      </c>
      <c r="L173" s="191">
        <f t="shared" si="14"/>
        <v>0</v>
      </c>
    </row>
    <row r="174" spans="1:12" ht="11.25" customHeight="1">
      <c r="A174" s="49" t="s">
        <v>50</v>
      </c>
      <c r="B174" s="828"/>
      <c r="C174" s="829"/>
      <c r="D174" s="828"/>
      <c r="E174" s="829"/>
      <c r="F174" s="828"/>
      <c r="G174" s="829"/>
      <c r="H174" s="240">
        <f t="shared" si="15"/>
        <v>0</v>
      </c>
      <c r="I174" s="828"/>
      <c r="J174" s="829"/>
      <c r="K174" s="240">
        <f t="shared" si="19"/>
        <v>0</v>
      </c>
      <c r="L174" s="241">
        <f t="shared" si="14"/>
        <v>0</v>
      </c>
    </row>
    <row r="175" spans="1:12" ht="11.25" customHeight="1">
      <c r="A175" s="49" t="s">
        <v>51</v>
      </c>
      <c r="B175" s="828">
        <f>SUM(B176:C182)</f>
        <v>0</v>
      </c>
      <c r="C175" s="829"/>
      <c r="D175" s="828">
        <f>SUM(D176:E182)</f>
        <v>0</v>
      </c>
      <c r="E175" s="829"/>
      <c r="F175" s="828">
        <f>SUM(F176:G182)</f>
        <v>0</v>
      </c>
      <c r="G175" s="829"/>
      <c r="H175" s="240">
        <f t="shared" si="15"/>
        <v>0</v>
      </c>
      <c r="I175" s="828">
        <f>SUM(I176:J182)</f>
        <v>0</v>
      </c>
      <c r="J175" s="829"/>
      <c r="K175" s="240">
        <f t="shared" si="19"/>
        <v>0</v>
      </c>
      <c r="L175" s="241">
        <f t="shared" si="14"/>
        <v>0</v>
      </c>
    </row>
    <row r="176" spans="1:12" ht="11.25" customHeight="1">
      <c r="A176" s="51" t="s">
        <v>33</v>
      </c>
      <c r="B176" s="826"/>
      <c r="C176" s="827"/>
      <c r="D176" s="826"/>
      <c r="E176" s="827"/>
      <c r="F176" s="826"/>
      <c r="G176" s="827"/>
      <c r="H176" s="62">
        <f t="shared" si="15"/>
        <v>0</v>
      </c>
      <c r="I176" s="826"/>
      <c r="J176" s="827"/>
      <c r="K176" s="62">
        <f aca="true" t="shared" si="20" ref="K176:K182">IF($D176="",0,IF($D176=0,0,+I176/$D176))</f>
        <v>0</v>
      </c>
      <c r="L176" s="191">
        <f t="shared" si="14"/>
        <v>0</v>
      </c>
    </row>
    <row r="177" spans="1:12" ht="11.25" customHeight="1">
      <c r="A177" s="51" t="s">
        <v>34</v>
      </c>
      <c r="B177" s="826"/>
      <c r="C177" s="827"/>
      <c r="D177" s="826"/>
      <c r="E177" s="827"/>
      <c r="F177" s="826"/>
      <c r="G177" s="827"/>
      <c r="H177" s="62">
        <f t="shared" si="15"/>
        <v>0</v>
      </c>
      <c r="I177" s="826"/>
      <c r="J177" s="827"/>
      <c r="K177" s="62">
        <f t="shared" si="20"/>
        <v>0</v>
      </c>
      <c r="L177" s="191">
        <f t="shared" si="14"/>
        <v>0</v>
      </c>
    </row>
    <row r="178" spans="1:12" ht="11.25" customHeight="1">
      <c r="A178" s="51" t="s">
        <v>35</v>
      </c>
      <c r="B178" s="826"/>
      <c r="C178" s="827"/>
      <c r="D178" s="826"/>
      <c r="E178" s="827"/>
      <c r="F178" s="826"/>
      <c r="G178" s="827"/>
      <c r="H178" s="62">
        <f t="shared" si="15"/>
        <v>0</v>
      </c>
      <c r="I178" s="826"/>
      <c r="J178" s="827"/>
      <c r="K178" s="62">
        <f t="shared" si="20"/>
        <v>0</v>
      </c>
      <c r="L178" s="191">
        <f t="shared" si="14"/>
        <v>0</v>
      </c>
    </row>
    <row r="179" spans="1:12" ht="11.25" customHeight="1">
      <c r="A179" s="51" t="s">
        <v>36</v>
      </c>
      <c r="B179" s="826"/>
      <c r="C179" s="827"/>
      <c r="D179" s="826"/>
      <c r="E179" s="827"/>
      <c r="F179" s="826"/>
      <c r="G179" s="827"/>
      <c r="H179" s="62">
        <f t="shared" si="15"/>
        <v>0</v>
      </c>
      <c r="I179" s="826"/>
      <c r="J179" s="827"/>
      <c r="K179" s="62">
        <f t="shared" si="20"/>
        <v>0</v>
      </c>
      <c r="L179" s="191">
        <f t="shared" si="14"/>
        <v>0</v>
      </c>
    </row>
    <row r="180" spans="1:12" ht="11.25" customHeight="1">
      <c r="A180" s="247" t="s">
        <v>52</v>
      </c>
      <c r="B180" s="826"/>
      <c r="C180" s="827"/>
      <c r="D180" s="826"/>
      <c r="E180" s="827"/>
      <c r="F180" s="826"/>
      <c r="G180" s="827"/>
      <c r="H180" s="62">
        <f t="shared" si="15"/>
        <v>0</v>
      </c>
      <c r="I180" s="826"/>
      <c r="J180" s="827"/>
      <c r="K180" s="62">
        <f t="shared" si="20"/>
        <v>0</v>
      </c>
      <c r="L180" s="191">
        <f t="shared" si="14"/>
        <v>0</v>
      </c>
    </row>
    <row r="181" spans="1:12" ht="11.25" customHeight="1">
      <c r="A181" s="247" t="s">
        <v>37</v>
      </c>
      <c r="B181" s="826"/>
      <c r="C181" s="827"/>
      <c r="D181" s="826"/>
      <c r="E181" s="827"/>
      <c r="F181" s="826"/>
      <c r="G181" s="827"/>
      <c r="H181" s="62">
        <f t="shared" si="15"/>
        <v>0</v>
      </c>
      <c r="I181" s="826"/>
      <c r="J181" s="827"/>
      <c r="K181" s="62">
        <f t="shared" si="20"/>
        <v>0</v>
      </c>
      <c r="L181" s="191">
        <f t="shared" si="14"/>
        <v>0</v>
      </c>
    </row>
    <row r="182" spans="1:12" ht="11.25" customHeight="1">
      <c r="A182" s="247" t="s">
        <v>38</v>
      </c>
      <c r="B182" s="826"/>
      <c r="C182" s="827"/>
      <c r="D182" s="826"/>
      <c r="E182" s="827"/>
      <c r="F182" s="826"/>
      <c r="G182" s="827"/>
      <c r="H182" s="62">
        <f t="shared" si="15"/>
        <v>0</v>
      </c>
      <c r="I182" s="826"/>
      <c r="J182" s="827"/>
      <c r="K182" s="62">
        <f t="shared" si="20"/>
        <v>0</v>
      </c>
      <c r="L182" s="191">
        <f t="shared" si="14"/>
        <v>0</v>
      </c>
    </row>
    <row r="183" spans="1:12" ht="11.25" customHeight="1">
      <c r="A183" s="49" t="s">
        <v>53</v>
      </c>
      <c r="B183" s="828">
        <f>SUM(B184:C186)</f>
        <v>0</v>
      </c>
      <c r="C183" s="829"/>
      <c r="D183" s="828">
        <f>SUM(D184:E186)</f>
        <v>0</v>
      </c>
      <c r="E183" s="829"/>
      <c r="F183" s="828">
        <f>SUM(F184:G186)</f>
        <v>0</v>
      </c>
      <c r="G183" s="829"/>
      <c r="H183" s="240">
        <f t="shared" si="15"/>
        <v>0</v>
      </c>
      <c r="I183" s="828">
        <f>SUM(I184:J186)</f>
        <v>0</v>
      </c>
      <c r="J183" s="829"/>
      <c r="K183" s="240">
        <f>IF($D183="",0,IF($D183=0,0,+I183/$D183))</f>
        <v>0</v>
      </c>
      <c r="L183" s="241">
        <f t="shared" si="14"/>
        <v>0</v>
      </c>
    </row>
    <row r="184" spans="1:12" ht="11.25" customHeight="1">
      <c r="A184" s="51" t="s">
        <v>54</v>
      </c>
      <c r="B184" s="826"/>
      <c r="C184" s="827"/>
      <c r="D184" s="826"/>
      <c r="E184" s="827"/>
      <c r="F184" s="826"/>
      <c r="G184" s="827"/>
      <c r="H184" s="62">
        <f t="shared" si="15"/>
        <v>0</v>
      </c>
      <c r="I184" s="826"/>
      <c r="J184" s="827"/>
      <c r="K184" s="62">
        <f>IF($D184="",0,IF($D184=0,0,+I184/$D184))</f>
        <v>0</v>
      </c>
      <c r="L184" s="191">
        <f t="shared" si="14"/>
        <v>0</v>
      </c>
    </row>
    <row r="185" spans="1:12" ht="11.25" customHeight="1">
      <c r="A185" s="248" t="s">
        <v>55</v>
      </c>
      <c r="B185" s="826"/>
      <c r="C185" s="827"/>
      <c r="D185" s="826"/>
      <c r="E185" s="827"/>
      <c r="F185" s="826"/>
      <c r="G185" s="827"/>
      <c r="H185" s="62">
        <f t="shared" si="15"/>
        <v>0</v>
      </c>
      <c r="I185" s="826"/>
      <c r="J185" s="827"/>
      <c r="K185" s="62">
        <f>IF($D185="",0,IF($D185=0,0,+I185/$D185))</f>
        <v>0</v>
      </c>
      <c r="L185" s="191">
        <f t="shared" si="14"/>
        <v>0</v>
      </c>
    </row>
    <row r="186" spans="1:12" ht="15" customHeight="1">
      <c r="A186" s="297" t="s">
        <v>56</v>
      </c>
      <c r="B186" s="844"/>
      <c r="C186" s="845"/>
      <c r="D186" s="844"/>
      <c r="E186" s="845"/>
      <c r="F186" s="844"/>
      <c r="G186" s="845"/>
      <c r="H186" s="69">
        <f t="shared" si="15"/>
        <v>0</v>
      </c>
      <c r="I186" s="844"/>
      <c r="J186" s="845"/>
      <c r="K186" s="69">
        <f>IF($D186="",0,IF($D186=0,0,+I186/$D186))</f>
        <v>0</v>
      </c>
      <c r="L186" s="298">
        <f t="shared" si="14"/>
        <v>0</v>
      </c>
    </row>
    <row r="187" spans="1:12" ht="11.25" customHeight="1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11.25" customHeight="1">
      <c r="A188" s="820" t="s">
        <v>849</v>
      </c>
      <c r="B188" s="812" t="s">
        <v>822</v>
      </c>
      <c r="C188" s="812" t="s">
        <v>283</v>
      </c>
      <c r="D188" s="880" t="s">
        <v>176</v>
      </c>
      <c r="E188" s="881"/>
      <c r="F188" s="802" t="s">
        <v>179</v>
      </c>
      <c r="G188" s="810" t="s">
        <v>177</v>
      </c>
      <c r="H188" s="811"/>
      <c r="I188" s="802" t="s">
        <v>179</v>
      </c>
      <c r="J188" s="812" t="s">
        <v>691</v>
      </c>
      <c r="K188" s="804" t="s">
        <v>414</v>
      </c>
      <c r="L188" s="805"/>
    </row>
    <row r="189" spans="1:12" ht="26.25" customHeight="1">
      <c r="A189" s="821"/>
      <c r="B189" s="813"/>
      <c r="C189" s="813"/>
      <c r="D189" s="812" t="s">
        <v>117</v>
      </c>
      <c r="E189" s="299" t="s">
        <v>854</v>
      </c>
      <c r="F189" s="803"/>
      <c r="G189" s="812" t="s">
        <v>117</v>
      </c>
      <c r="H189" s="299" t="s">
        <v>854</v>
      </c>
      <c r="I189" s="803"/>
      <c r="J189" s="813"/>
      <c r="K189" s="806"/>
      <c r="L189" s="807"/>
    </row>
    <row r="190" spans="1:12" ht="15.75" customHeight="1">
      <c r="A190" s="822"/>
      <c r="B190" s="300" t="s">
        <v>180</v>
      </c>
      <c r="C190" s="300" t="s">
        <v>181</v>
      </c>
      <c r="D190" s="814"/>
      <c r="E190" s="300" t="s">
        <v>274</v>
      </c>
      <c r="F190" s="301" t="s">
        <v>855</v>
      </c>
      <c r="G190" s="814"/>
      <c r="H190" s="269" t="s">
        <v>183</v>
      </c>
      <c r="I190" s="301" t="s">
        <v>856</v>
      </c>
      <c r="J190" s="269" t="s">
        <v>420</v>
      </c>
      <c r="K190" s="808" t="s">
        <v>421</v>
      </c>
      <c r="L190" s="809"/>
    </row>
    <row r="191" spans="1:12" ht="11.25" customHeight="1">
      <c r="A191" s="279" t="s">
        <v>100</v>
      </c>
      <c r="B191" s="302">
        <f>+B192+B196</f>
        <v>0</v>
      </c>
      <c r="C191" s="302">
        <f>+C192+C196</f>
        <v>0</v>
      </c>
      <c r="D191" s="302">
        <f>+D192+D196</f>
        <v>0</v>
      </c>
      <c r="E191" s="302">
        <f>+E192+E196</f>
        <v>0</v>
      </c>
      <c r="F191" s="302">
        <f>+C191-E191</f>
        <v>0</v>
      </c>
      <c r="G191" s="302">
        <f>+G192+G196</f>
        <v>0</v>
      </c>
      <c r="H191" s="302">
        <f>+H192+H196</f>
        <v>0</v>
      </c>
      <c r="I191" s="302">
        <f aca="true" t="shared" si="21" ref="I191:I199">+C191-H191</f>
        <v>0</v>
      </c>
      <c r="J191" s="302">
        <f>+J192+J196</f>
        <v>0</v>
      </c>
      <c r="K191" s="847">
        <f>+K192+K196</f>
        <v>0</v>
      </c>
      <c r="L191" s="848"/>
    </row>
    <row r="192" spans="1:12" ht="11.25" customHeight="1">
      <c r="A192" s="303" t="s">
        <v>90</v>
      </c>
      <c r="B192" s="241">
        <f>SUM(B193:B195)</f>
        <v>0</v>
      </c>
      <c r="C192" s="241">
        <f>SUM(C193:C195)</f>
        <v>0</v>
      </c>
      <c r="D192" s="241">
        <f>SUM(D193:D195)</f>
        <v>0</v>
      </c>
      <c r="E192" s="241">
        <f>SUM(E193:E195)</f>
        <v>0</v>
      </c>
      <c r="F192" s="241">
        <f>+C192-E192</f>
        <v>0</v>
      </c>
      <c r="G192" s="241">
        <f>SUM(G193:G195)</f>
        <v>0</v>
      </c>
      <c r="H192" s="241">
        <f>SUM(H193:H195)</f>
        <v>0</v>
      </c>
      <c r="I192" s="241">
        <f t="shared" si="21"/>
        <v>0</v>
      </c>
      <c r="J192" s="241">
        <f>SUM(J193:J195)</f>
        <v>0</v>
      </c>
      <c r="K192" s="846">
        <f>SUM(K193:K195)</f>
        <v>0</v>
      </c>
      <c r="L192" s="846"/>
    </row>
    <row r="193" spans="1:12" ht="11.25" customHeight="1">
      <c r="A193" s="84" t="s">
        <v>91</v>
      </c>
      <c r="B193" s="734"/>
      <c r="C193" s="734"/>
      <c r="D193" s="734"/>
      <c r="E193" s="734"/>
      <c r="F193" s="224">
        <f>+C193-E193</f>
        <v>0</v>
      </c>
      <c r="G193" s="734"/>
      <c r="H193" s="736"/>
      <c r="I193" s="191">
        <f t="shared" si="21"/>
        <v>0</v>
      </c>
      <c r="J193" s="734"/>
      <c r="K193" s="826"/>
      <c r="L193" s="827"/>
    </row>
    <row r="194" spans="1:12" ht="11.25" customHeight="1">
      <c r="A194" s="84" t="s">
        <v>92</v>
      </c>
      <c r="B194" s="734"/>
      <c r="C194" s="734"/>
      <c r="D194" s="734"/>
      <c r="E194" s="734"/>
      <c r="F194" s="224">
        <f aca="true" t="shared" si="22" ref="F194:F199">+C194-E194</f>
        <v>0</v>
      </c>
      <c r="G194" s="734"/>
      <c r="H194" s="736"/>
      <c r="I194" s="191">
        <f t="shared" si="21"/>
        <v>0</v>
      </c>
      <c r="J194" s="734"/>
      <c r="K194" s="826"/>
      <c r="L194" s="827"/>
    </row>
    <row r="195" spans="1:12" ht="11.25" customHeight="1">
      <c r="A195" s="84" t="s">
        <v>93</v>
      </c>
      <c r="B195" s="734"/>
      <c r="C195" s="734"/>
      <c r="D195" s="734"/>
      <c r="E195" s="734"/>
      <c r="F195" s="224">
        <f t="shared" si="22"/>
        <v>0</v>
      </c>
      <c r="G195" s="734"/>
      <c r="H195" s="736"/>
      <c r="I195" s="191">
        <f t="shared" si="21"/>
        <v>0</v>
      </c>
      <c r="J195" s="734"/>
      <c r="K195" s="826"/>
      <c r="L195" s="827"/>
    </row>
    <row r="196" spans="1:12" ht="11.25" customHeight="1">
      <c r="A196" s="303" t="s">
        <v>94</v>
      </c>
      <c r="B196" s="241">
        <f>SUM(B197:B199)</f>
        <v>0</v>
      </c>
      <c r="C196" s="241">
        <f>SUM(C197:C199)</f>
        <v>0</v>
      </c>
      <c r="D196" s="241">
        <f>SUM(D197:D199)</f>
        <v>0</v>
      </c>
      <c r="E196" s="241">
        <f>SUM(E197:E199)</f>
        <v>0</v>
      </c>
      <c r="F196" s="241">
        <f>+C196-E196</f>
        <v>0</v>
      </c>
      <c r="G196" s="241">
        <f>SUM(G197:G199)</f>
        <v>0</v>
      </c>
      <c r="H196" s="241">
        <f>SUM(H197:H199)</f>
        <v>0</v>
      </c>
      <c r="I196" s="241">
        <f t="shared" si="21"/>
        <v>0</v>
      </c>
      <c r="J196" s="241">
        <f>SUM(J197:J199)</f>
        <v>0</v>
      </c>
      <c r="K196" s="846">
        <f>SUM(K197:K199)</f>
        <v>0</v>
      </c>
      <c r="L196" s="846"/>
    </row>
    <row r="197" spans="1:12" ht="11.25" customHeight="1">
      <c r="A197" s="155" t="s">
        <v>95</v>
      </c>
      <c r="B197" s="736"/>
      <c r="C197" s="734"/>
      <c r="D197" s="736"/>
      <c r="E197" s="734"/>
      <c r="F197" s="224">
        <f t="shared" si="22"/>
        <v>0</v>
      </c>
      <c r="G197" s="734"/>
      <c r="H197" s="736"/>
      <c r="I197" s="191">
        <f t="shared" si="21"/>
        <v>0</v>
      </c>
      <c r="J197" s="734"/>
      <c r="K197" s="826"/>
      <c r="L197" s="827"/>
    </row>
    <row r="198" spans="1:12" ht="11.25" customHeight="1">
      <c r="A198" s="155" t="s">
        <v>96</v>
      </c>
      <c r="B198" s="736"/>
      <c r="C198" s="734"/>
      <c r="D198" s="736"/>
      <c r="E198" s="734"/>
      <c r="F198" s="224">
        <f t="shared" si="22"/>
        <v>0</v>
      </c>
      <c r="G198" s="734"/>
      <c r="H198" s="736"/>
      <c r="I198" s="191">
        <f t="shared" si="21"/>
        <v>0</v>
      </c>
      <c r="J198" s="734"/>
      <c r="K198" s="826"/>
      <c r="L198" s="827"/>
    </row>
    <row r="199" spans="1:12" ht="11.25" customHeight="1">
      <c r="A199" s="304" t="s">
        <v>97</v>
      </c>
      <c r="B199" s="737"/>
      <c r="C199" s="738"/>
      <c r="D199" s="737"/>
      <c r="E199" s="738"/>
      <c r="F199" s="298">
        <f t="shared" si="22"/>
        <v>0</v>
      </c>
      <c r="G199" s="738"/>
      <c r="H199" s="737"/>
      <c r="I199" s="298">
        <f t="shared" si="21"/>
        <v>0</v>
      </c>
      <c r="J199" s="738"/>
      <c r="K199" s="844"/>
      <c r="L199" s="845"/>
    </row>
  </sheetData>
  <sheetProtection password="C236" sheet="1" formatColumns="0" selectLockedCells="1"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1"/>
  <rowBreaks count="4" manualBreakCount="4">
    <brk id="53" max="255" man="1"/>
    <brk id="89" max="255" man="1"/>
    <brk id="122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7"/>
  <sheetViews>
    <sheetView showGridLines="0" zoomScale="108" zoomScaleNormal="108" zoomScalePageLayoutView="0" workbookViewId="0" topLeftCell="A166">
      <selection activeCell="A183" sqref="A183:L183"/>
    </sheetView>
  </sheetViews>
  <sheetFormatPr defaultColWidth="7.8515625" defaultRowHeight="11.25" customHeight="1"/>
  <cols>
    <col min="1" max="1" width="46.7109375" style="306" customWidth="1"/>
    <col min="2" max="2" width="10.7109375" style="306" customWidth="1"/>
    <col min="3" max="3" width="12.7109375" style="306" customWidth="1"/>
    <col min="4" max="4" width="10.7109375" style="306" customWidth="1"/>
    <col min="5" max="5" width="12.7109375" style="306" customWidth="1"/>
    <col min="6" max="6" width="9.7109375" style="306" customWidth="1"/>
    <col min="7" max="8" width="10.7109375" style="306" customWidth="1"/>
    <col min="9" max="9" width="12.7109375" style="306" customWidth="1"/>
    <col min="10" max="10" width="9.7109375" style="306" customWidth="1"/>
    <col min="11" max="11" width="10.7109375" style="306" customWidth="1"/>
    <col min="12" max="12" width="16.421875" style="306" customWidth="1"/>
    <col min="13" max="13" width="14.28125" style="306" customWidth="1"/>
    <col min="14" max="14" width="5.7109375" style="71" customWidth="1"/>
    <col min="15" max="16" width="15.421875" style="71" customWidth="1"/>
    <col min="17" max="17" width="22.00390625" style="71" customWidth="1"/>
    <col min="18" max="18" width="13.421875" style="71" customWidth="1"/>
    <col min="19" max="16384" width="7.8515625" style="71" customWidth="1"/>
  </cols>
  <sheetData>
    <row r="1" ht="15.75">
      <c r="A1" s="138" t="s">
        <v>125</v>
      </c>
    </row>
    <row r="2" ht="11.25" customHeight="1">
      <c r="A2" s="40"/>
    </row>
    <row r="3" spans="1:13" ht="12.75">
      <c r="A3" s="883" t="str">
        <f>+'Informações Iniciais'!A1</f>
        <v>PODER EXECUTIVO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</row>
    <row r="4" spans="1:13" ht="12.75">
      <c r="A4" s="884" t="s">
        <v>109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</row>
    <row r="5" spans="1:13" ht="12.75">
      <c r="A5" s="885" t="s">
        <v>186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</row>
    <row r="6" spans="1:13" ht="12.75">
      <c r="A6" s="886" t="s">
        <v>111</v>
      </c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</row>
    <row r="7" spans="1:13" ht="12.75">
      <c r="A7" s="883" t="str">
        <f>+'Informações Iniciais'!A5</f>
        <v>5º Bimestre de 2016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</row>
    <row r="8" spans="1:13" ht="12.75">
      <c r="A8" s="887"/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71"/>
    </row>
    <row r="9" spans="1:12" ht="12.75">
      <c r="A9" s="72" t="s">
        <v>434</v>
      </c>
      <c r="B9" s="105"/>
      <c r="C9" s="71"/>
      <c r="D9" s="71"/>
      <c r="E9" s="307"/>
      <c r="F9" s="307"/>
      <c r="G9" s="307"/>
      <c r="H9" s="307"/>
      <c r="I9" s="71"/>
      <c r="J9" s="71"/>
      <c r="K9" s="71"/>
      <c r="L9" s="45" t="s">
        <v>519</v>
      </c>
    </row>
    <row r="10" spans="1:13" ht="18" customHeight="1">
      <c r="A10" s="888" t="s">
        <v>187</v>
      </c>
      <c r="B10" s="206" t="s">
        <v>175</v>
      </c>
      <c r="C10" s="206" t="s">
        <v>175</v>
      </c>
      <c r="D10" s="898" t="s">
        <v>176</v>
      </c>
      <c r="E10" s="899"/>
      <c r="F10" s="900"/>
      <c r="G10" s="802" t="s">
        <v>179</v>
      </c>
      <c r="H10" s="892" t="s">
        <v>177</v>
      </c>
      <c r="I10" s="893"/>
      <c r="J10" s="894"/>
      <c r="K10" s="802" t="s">
        <v>179</v>
      </c>
      <c r="L10" s="895" t="s">
        <v>858</v>
      </c>
      <c r="M10" s="71"/>
    </row>
    <row r="11" spans="1:13" ht="12.75">
      <c r="A11" s="889"/>
      <c r="B11" s="207" t="s">
        <v>115</v>
      </c>
      <c r="C11" s="207" t="s">
        <v>116</v>
      </c>
      <c r="D11" s="901" t="s">
        <v>117</v>
      </c>
      <c r="E11" s="206" t="s">
        <v>119</v>
      </c>
      <c r="F11" s="206" t="s">
        <v>118</v>
      </c>
      <c r="G11" s="803"/>
      <c r="H11" s="901" t="s">
        <v>117</v>
      </c>
      <c r="I11" s="206" t="s">
        <v>119</v>
      </c>
      <c r="J11" s="206" t="s">
        <v>118</v>
      </c>
      <c r="K11" s="803"/>
      <c r="L11" s="896"/>
      <c r="M11" s="71"/>
    </row>
    <row r="12" spans="1:12" s="139" customFormat="1" ht="24" customHeight="1">
      <c r="A12" s="890"/>
      <c r="B12" s="189"/>
      <c r="C12" s="308" t="s">
        <v>120</v>
      </c>
      <c r="D12" s="902"/>
      <c r="E12" s="308" t="s">
        <v>121</v>
      </c>
      <c r="F12" s="308" t="s">
        <v>62</v>
      </c>
      <c r="G12" s="309" t="s">
        <v>347</v>
      </c>
      <c r="H12" s="902"/>
      <c r="I12" s="308" t="s">
        <v>180</v>
      </c>
      <c r="J12" s="308" t="s">
        <v>859</v>
      </c>
      <c r="K12" s="309" t="s">
        <v>857</v>
      </c>
      <c r="L12" s="897"/>
    </row>
    <row r="13" spans="1:12" s="139" customFormat="1" ht="12.75">
      <c r="A13" s="310" t="s">
        <v>258</v>
      </c>
      <c r="B13" s="311">
        <f>+B14+B18+B22+B26+B39+B44+B49+B53+B59+B65+B73+B79+B88+B92+B97+B102+B106+B110+B117+B122+B131+B134+B141+B148+B152+B158+B165+B170+B179+B180</f>
        <v>23638990</v>
      </c>
      <c r="C13" s="311">
        <f>+C14+C18+C22+C26+C39+C44+C49+C53+C59+C65+C73+C79+C88+C92+C97+C102+C106+C110+C117+C122+C131+C134+C141+C148+C152+C158+C165+C170+C179+C180</f>
        <v>31079493.12</v>
      </c>
      <c r="D13" s="311">
        <f>+D14+D18+D22+D26+D39+D44+D49+D53+D59+D65+D73+D79+D88+D92+D97+D102+D106+D110+D117+D122+D131+D134+D141+D148+D152+D158+D165+D170+D179+D180</f>
        <v>1850122.7799999998</v>
      </c>
      <c r="E13" s="311">
        <f>+E14+E18+E22+E26+E39+E44+E49+E53+E59+E65+E73+E79+E88+E92+E97+E102+E106+E110+E117+E122+E131+E134+E141+E148+E152+E158+E165+E170+E179+E180</f>
        <v>14519791.389999999</v>
      </c>
      <c r="F13" s="311">
        <f>IF(E$182="",0,IF(E$182=0,0,E13/E$182))</f>
        <v>1</v>
      </c>
      <c r="G13" s="311">
        <f>+C13-E13</f>
        <v>16559701.730000002</v>
      </c>
      <c r="H13" s="311">
        <f>+H14+H18+H22+H26+H39+H44+H49+H53+H59+H65+H73+H79+H88+H92+H97+H102+H106+H110+H117+H122+H131+H134+H141+H148+H152+H158+H165+H170+H179+H180</f>
        <v>1850122.7799999998</v>
      </c>
      <c r="I13" s="311">
        <f>+I14+I18+I22+I26+I39+I44+I49+I53+I59+I65+I73+I79+I88+I92+I97+I102+I106+I110+I117+I122+I131+I134+I141+I148+I152+I158+I165+I170+I179+I180</f>
        <v>13800293.769999998</v>
      </c>
      <c r="J13" s="311">
        <f>IF(I182="",0,IF(I182=0,0,I13/I$182))</f>
        <v>1</v>
      </c>
      <c r="K13" s="311">
        <f>+C13-I13</f>
        <v>17279199.35</v>
      </c>
      <c r="L13" s="311">
        <f>+L14+L18+L22+L26+L39+L44+L49+L53+L59+L65+L73+L79+L88+L92+L97+L102+L106+L110+L117+L122+L131+L134+L141+L148+L152+L158+L165+L170+L179+L180</f>
        <v>0</v>
      </c>
    </row>
    <row r="14" spans="1:12" s="139" customFormat="1" ht="12.75">
      <c r="A14" s="312" t="s">
        <v>338</v>
      </c>
      <c r="B14" s="241">
        <f>SUM(B15:B17)</f>
        <v>1289600</v>
      </c>
      <c r="C14" s="241">
        <f>SUM(C15:C17)</f>
        <v>1289600</v>
      </c>
      <c r="D14" s="241">
        <f>SUM(D15:D17)</f>
        <v>0</v>
      </c>
      <c r="E14" s="241">
        <f>SUM(E15:E17)</f>
        <v>0</v>
      </c>
      <c r="F14" s="241">
        <f aca="true" t="shared" si="0" ref="F14:F77">IF(E$182="",0,IF(E$182=0,0,E14/E$182))</f>
        <v>0</v>
      </c>
      <c r="G14" s="241">
        <f aca="true" t="shared" si="1" ref="G14:G77">+C14-E14</f>
        <v>1289600</v>
      </c>
      <c r="H14" s="241">
        <f>SUM(H15:H17)</f>
        <v>0</v>
      </c>
      <c r="I14" s="241">
        <f>SUM(I15:I17)</f>
        <v>0</v>
      </c>
      <c r="J14" s="241">
        <f aca="true" t="shared" si="2" ref="J14:J77">IF(I183="",0,IF(I183=0,0,I14/I$182))</f>
        <v>0</v>
      </c>
      <c r="K14" s="241">
        <f aca="true" t="shared" si="3" ref="K14:K77">+C14-I14</f>
        <v>1289600</v>
      </c>
      <c r="L14" s="241">
        <f>SUM(L15:L17)</f>
        <v>0</v>
      </c>
    </row>
    <row r="15" spans="1:13" ht="12.75">
      <c r="A15" s="313" t="s">
        <v>520</v>
      </c>
      <c r="B15" s="739">
        <v>1289600</v>
      </c>
      <c r="C15" s="740">
        <v>1289600</v>
      </c>
      <c r="D15" s="740">
        <v>0</v>
      </c>
      <c r="E15" s="740">
        <v>0</v>
      </c>
      <c r="F15" s="314">
        <f t="shared" si="0"/>
        <v>0</v>
      </c>
      <c r="G15" s="314">
        <f t="shared" si="1"/>
        <v>1289600</v>
      </c>
      <c r="H15" s="740">
        <v>0</v>
      </c>
      <c r="I15" s="740">
        <v>0</v>
      </c>
      <c r="J15" s="315">
        <f t="shared" si="2"/>
        <v>0</v>
      </c>
      <c r="K15" s="315">
        <f t="shared" si="3"/>
        <v>1289600</v>
      </c>
      <c r="L15" s="740">
        <v>0</v>
      </c>
      <c r="M15" s="71"/>
    </row>
    <row r="16" spans="1:13" ht="12.75">
      <c r="A16" s="313" t="s">
        <v>521</v>
      </c>
      <c r="B16" s="739"/>
      <c r="C16" s="740"/>
      <c r="D16" s="740"/>
      <c r="E16" s="740"/>
      <c r="F16" s="314">
        <f t="shared" si="0"/>
        <v>0</v>
      </c>
      <c r="G16" s="314">
        <f t="shared" si="1"/>
        <v>0</v>
      </c>
      <c r="H16" s="740"/>
      <c r="I16" s="740"/>
      <c r="J16" s="315">
        <f t="shared" si="2"/>
        <v>0</v>
      </c>
      <c r="K16" s="315">
        <f t="shared" si="3"/>
        <v>0</v>
      </c>
      <c r="L16" s="740"/>
      <c r="M16" s="71"/>
    </row>
    <row r="17" spans="1:13" ht="12.75">
      <c r="A17" s="313" t="s">
        <v>522</v>
      </c>
      <c r="B17" s="739"/>
      <c r="C17" s="740"/>
      <c r="D17" s="740"/>
      <c r="E17" s="740"/>
      <c r="F17" s="314">
        <f t="shared" si="0"/>
        <v>0</v>
      </c>
      <c r="G17" s="314">
        <f t="shared" si="1"/>
        <v>0</v>
      </c>
      <c r="H17" s="740"/>
      <c r="I17" s="740"/>
      <c r="J17" s="314">
        <f t="shared" si="2"/>
        <v>0</v>
      </c>
      <c r="K17" s="315">
        <f t="shared" si="3"/>
        <v>0</v>
      </c>
      <c r="L17" s="740"/>
      <c r="M17" s="105"/>
    </row>
    <row r="18" spans="1:15" ht="12.75">
      <c r="A18" s="312" t="s">
        <v>339</v>
      </c>
      <c r="B18" s="241">
        <f>SUM(B19:B21)</f>
        <v>29120</v>
      </c>
      <c r="C18" s="241">
        <f>SUM(C19:C21)</f>
        <v>29120</v>
      </c>
      <c r="D18" s="241">
        <f>SUM(D19:D21)</f>
        <v>0</v>
      </c>
      <c r="E18" s="241">
        <f>SUM(E19:E21)</f>
        <v>0</v>
      </c>
      <c r="F18" s="241">
        <f t="shared" si="0"/>
        <v>0</v>
      </c>
      <c r="G18" s="241">
        <f t="shared" si="1"/>
        <v>29120</v>
      </c>
      <c r="H18" s="241">
        <f>SUM(H19:H21)</f>
        <v>0</v>
      </c>
      <c r="I18" s="241">
        <f>SUM(I19:I21)</f>
        <v>0</v>
      </c>
      <c r="J18" s="241">
        <f t="shared" si="2"/>
        <v>0</v>
      </c>
      <c r="K18" s="241">
        <f t="shared" si="3"/>
        <v>29120</v>
      </c>
      <c r="L18" s="241">
        <f>SUM(L19:L21)</f>
        <v>0</v>
      </c>
      <c r="M18" s="105"/>
      <c r="O18" s="882"/>
    </row>
    <row r="19" spans="1:15" ht="12.75">
      <c r="A19" s="313" t="s">
        <v>523</v>
      </c>
      <c r="B19" s="740">
        <v>29120</v>
      </c>
      <c r="C19" s="740">
        <v>29120</v>
      </c>
      <c r="D19" s="740">
        <v>0</v>
      </c>
      <c r="E19" s="740">
        <v>0</v>
      </c>
      <c r="F19" s="314">
        <f t="shared" si="0"/>
        <v>0</v>
      </c>
      <c r="G19" s="314">
        <f t="shared" si="1"/>
        <v>29120</v>
      </c>
      <c r="H19" s="740">
        <v>0</v>
      </c>
      <c r="I19" s="740">
        <v>0</v>
      </c>
      <c r="J19" s="314">
        <f t="shared" si="2"/>
        <v>0</v>
      </c>
      <c r="K19" s="315">
        <f t="shared" si="3"/>
        <v>29120</v>
      </c>
      <c r="L19" s="740">
        <v>0</v>
      </c>
      <c r="M19" s="105"/>
      <c r="O19" s="882"/>
    </row>
    <row r="20" spans="1:15" ht="12.75">
      <c r="A20" s="313" t="s">
        <v>524</v>
      </c>
      <c r="B20" s="740"/>
      <c r="C20" s="740"/>
      <c r="D20" s="740"/>
      <c r="E20" s="740"/>
      <c r="F20" s="314">
        <f t="shared" si="0"/>
        <v>0</v>
      </c>
      <c r="G20" s="314">
        <f t="shared" si="1"/>
        <v>0</v>
      </c>
      <c r="H20" s="740"/>
      <c r="I20" s="740"/>
      <c r="J20" s="314">
        <f t="shared" si="2"/>
        <v>0</v>
      </c>
      <c r="K20" s="315">
        <f t="shared" si="3"/>
        <v>0</v>
      </c>
      <c r="L20" s="740"/>
      <c r="M20" s="105"/>
      <c r="O20" s="882"/>
    </row>
    <row r="21" spans="1:13" ht="12.75">
      <c r="A21" s="313" t="s">
        <v>522</v>
      </c>
      <c r="B21" s="740"/>
      <c r="C21" s="740"/>
      <c r="D21" s="740"/>
      <c r="E21" s="740"/>
      <c r="F21" s="314">
        <f t="shared" si="0"/>
        <v>0</v>
      </c>
      <c r="G21" s="314">
        <f t="shared" si="1"/>
        <v>0</v>
      </c>
      <c r="H21" s="740"/>
      <c r="I21" s="740"/>
      <c r="J21" s="314">
        <f t="shared" si="2"/>
        <v>0</v>
      </c>
      <c r="K21" s="315">
        <f t="shared" si="3"/>
        <v>0</v>
      </c>
      <c r="L21" s="740"/>
      <c r="M21" s="105"/>
    </row>
    <row r="22" spans="1:13" ht="12.75">
      <c r="A22" s="312" t="s">
        <v>340</v>
      </c>
      <c r="B22" s="241">
        <f>SUM(B23:B25)</f>
        <v>0</v>
      </c>
      <c r="C22" s="241">
        <f>SUM(C23:C25)</f>
        <v>0</v>
      </c>
      <c r="D22" s="241">
        <f>SUM(D23:D25)</f>
        <v>0</v>
      </c>
      <c r="E22" s="241">
        <f>SUM(E23:E25)</f>
        <v>0</v>
      </c>
      <c r="F22" s="241">
        <f t="shared" si="0"/>
        <v>0</v>
      </c>
      <c r="G22" s="241">
        <f t="shared" si="1"/>
        <v>0</v>
      </c>
      <c r="H22" s="241">
        <f>SUM(H23:H25)</f>
        <v>0</v>
      </c>
      <c r="I22" s="241">
        <f>SUM(I23:I25)</f>
        <v>0</v>
      </c>
      <c r="J22" s="241">
        <f t="shared" si="2"/>
        <v>0</v>
      </c>
      <c r="K22" s="241">
        <f t="shared" si="3"/>
        <v>0</v>
      </c>
      <c r="L22" s="241">
        <f>SUM(L23:L25)</f>
        <v>0</v>
      </c>
      <c r="M22" s="105"/>
    </row>
    <row r="23" spans="1:13" ht="12.75">
      <c r="A23" s="313" t="s">
        <v>525</v>
      </c>
      <c r="B23" s="740"/>
      <c r="C23" s="740"/>
      <c r="D23" s="740"/>
      <c r="E23" s="740"/>
      <c r="F23" s="314">
        <f t="shared" si="0"/>
        <v>0</v>
      </c>
      <c r="G23" s="314">
        <f t="shared" si="1"/>
        <v>0</v>
      </c>
      <c r="H23" s="740"/>
      <c r="I23" s="740"/>
      <c r="J23" s="314">
        <f t="shared" si="2"/>
        <v>0</v>
      </c>
      <c r="K23" s="315">
        <f t="shared" si="3"/>
        <v>0</v>
      </c>
      <c r="L23" s="740"/>
      <c r="M23" s="105"/>
    </row>
    <row r="24" spans="1:13" ht="12.75">
      <c r="A24" s="313" t="s">
        <v>526</v>
      </c>
      <c r="B24" s="740"/>
      <c r="C24" s="740"/>
      <c r="D24" s="740"/>
      <c r="E24" s="740"/>
      <c r="F24" s="314">
        <f t="shared" si="0"/>
        <v>0</v>
      </c>
      <c r="G24" s="314">
        <f t="shared" si="1"/>
        <v>0</v>
      </c>
      <c r="H24" s="740"/>
      <c r="I24" s="740"/>
      <c r="J24" s="314">
        <f t="shared" si="2"/>
        <v>0</v>
      </c>
      <c r="K24" s="315">
        <f t="shared" si="3"/>
        <v>0</v>
      </c>
      <c r="L24" s="740"/>
      <c r="M24" s="105"/>
    </row>
    <row r="25" spans="1:13" ht="12.75">
      <c r="A25" s="313" t="s">
        <v>522</v>
      </c>
      <c r="B25" s="740"/>
      <c r="C25" s="740"/>
      <c r="D25" s="740"/>
      <c r="E25" s="740"/>
      <c r="F25" s="314">
        <f t="shared" si="0"/>
        <v>0</v>
      </c>
      <c r="G25" s="314">
        <f t="shared" si="1"/>
        <v>0</v>
      </c>
      <c r="H25" s="740"/>
      <c r="I25" s="740"/>
      <c r="J25" s="314">
        <f t="shared" si="2"/>
        <v>0</v>
      </c>
      <c r="K25" s="315">
        <f t="shared" si="3"/>
        <v>0</v>
      </c>
      <c r="L25" s="740"/>
      <c r="M25" s="105"/>
    </row>
    <row r="26" spans="1:13" ht="12.75">
      <c r="A26" s="312" t="s">
        <v>348</v>
      </c>
      <c r="B26" s="316">
        <f>SUM(B27:B38)</f>
        <v>572000</v>
      </c>
      <c r="C26" s="316">
        <f>SUM(C27:C38)</f>
        <v>1314000</v>
      </c>
      <c r="D26" s="316">
        <f>SUM(D27:D38)</f>
        <v>0</v>
      </c>
      <c r="E26" s="316">
        <f>SUM(E27:E38)</f>
        <v>733909.94</v>
      </c>
      <c r="F26" s="316">
        <f t="shared" si="0"/>
        <v>0.050545487899051694</v>
      </c>
      <c r="G26" s="316">
        <f t="shared" si="1"/>
        <v>580090.06</v>
      </c>
      <c r="H26" s="316">
        <f>SUM(H27:H38)</f>
        <v>0</v>
      </c>
      <c r="I26" s="316">
        <f>SUM(I27:I38)</f>
        <v>733909.94</v>
      </c>
      <c r="J26" s="316">
        <f t="shared" si="2"/>
        <v>0</v>
      </c>
      <c r="K26" s="316">
        <f t="shared" si="3"/>
        <v>580090.06</v>
      </c>
      <c r="L26" s="316">
        <f>SUM(L27:L38)</f>
        <v>0</v>
      </c>
      <c r="M26" s="105"/>
    </row>
    <row r="27" spans="1:13" ht="12.75">
      <c r="A27" s="313" t="s">
        <v>527</v>
      </c>
      <c r="B27" s="740"/>
      <c r="C27" s="740"/>
      <c r="D27" s="740"/>
      <c r="E27" s="740"/>
      <c r="F27" s="314">
        <f t="shared" si="0"/>
        <v>0</v>
      </c>
      <c r="G27" s="314">
        <f t="shared" si="1"/>
        <v>0</v>
      </c>
      <c r="H27" s="740"/>
      <c r="I27" s="740"/>
      <c r="J27" s="314">
        <f t="shared" si="2"/>
        <v>0</v>
      </c>
      <c r="K27" s="315">
        <f t="shared" si="3"/>
        <v>0</v>
      </c>
      <c r="L27" s="740"/>
      <c r="M27" s="105"/>
    </row>
    <row r="28" spans="1:13" ht="12.75">
      <c r="A28" s="313" t="s">
        <v>528</v>
      </c>
      <c r="B28" s="740">
        <v>139360</v>
      </c>
      <c r="C28" s="740">
        <v>709360</v>
      </c>
      <c r="D28" s="740">
        <v>0</v>
      </c>
      <c r="E28" s="740">
        <v>573120</v>
      </c>
      <c r="F28" s="314">
        <f t="shared" si="0"/>
        <v>0.03947164147239171</v>
      </c>
      <c r="G28" s="314">
        <f t="shared" si="1"/>
        <v>136240</v>
      </c>
      <c r="H28" s="740">
        <v>0</v>
      </c>
      <c r="I28" s="740">
        <v>573120</v>
      </c>
      <c r="J28" s="314">
        <f t="shared" si="2"/>
        <v>0</v>
      </c>
      <c r="K28" s="315">
        <f t="shared" si="3"/>
        <v>136240</v>
      </c>
      <c r="L28" s="740">
        <v>0</v>
      </c>
      <c r="M28" s="105"/>
    </row>
    <row r="29" spans="1:13" ht="12.75">
      <c r="A29" s="313" t="s">
        <v>529</v>
      </c>
      <c r="B29" s="740"/>
      <c r="C29" s="740"/>
      <c r="D29" s="740"/>
      <c r="E29" s="740"/>
      <c r="F29" s="314">
        <f t="shared" si="0"/>
        <v>0</v>
      </c>
      <c r="G29" s="314">
        <f t="shared" si="1"/>
        <v>0</v>
      </c>
      <c r="H29" s="740"/>
      <c r="I29" s="740"/>
      <c r="J29" s="314">
        <f t="shared" si="2"/>
        <v>0</v>
      </c>
      <c r="K29" s="315">
        <f t="shared" si="3"/>
        <v>0</v>
      </c>
      <c r="L29" s="740"/>
      <c r="M29" s="105"/>
    </row>
    <row r="30" spans="1:13" ht="12.75">
      <c r="A30" s="313" t="s">
        <v>530</v>
      </c>
      <c r="B30" s="740">
        <v>432640</v>
      </c>
      <c r="C30" s="740">
        <v>604640</v>
      </c>
      <c r="D30" s="740">
        <v>0</v>
      </c>
      <c r="E30" s="740">
        <v>160789.94</v>
      </c>
      <c r="F30" s="314">
        <f t="shared" si="0"/>
        <v>0.011073846426659992</v>
      </c>
      <c r="G30" s="314">
        <f t="shared" si="1"/>
        <v>443850.06</v>
      </c>
      <c r="H30" s="740">
        <v>0</v>
      </c>
      <c r="I30" s="740">
        <v>160789.94</v>
      </c>
      <c r="J30" s="314">
        <f t="shared" si="2"/>
        <v>0</v>
      </c>
      <c r="K30" s="315">
        <f t="shared" si="3"/>
        <v>443850.06</v>
      </c>
      <c r="L30" s="740">
        <v>0</v>
      </c>
      <c r="M30" s="105"/>
    </row>
    <row r="31" spans="1:13" ht="12.75">
      <c r="A31" s="313" t="s">
        <v>531</v>
      </c>
      <c r="B31" s="740"/>
      <c r="C31" s="740"/>
      <c r="D31" s="740"/>
      <c r="E31" s="740"/>
      <c r="F31" s="314">
        <f t="shared" si="0"/>
        <v>0</v>
      </c>
      <c r="G31" s="314">
        <f t="shared" si="1"/>
        <v>0</v>
      </c>
      <c r="H31" s="740"/>
      <c r="I31" s="740"/>
      <c r="J31" s="314">
        <f t="shared" si="2"/>
        <v>0</v>
      </c>
      <c r="K31" s="315">
        <f t="shared" si="3"/>
        <v>0</v>
      </c>
      <c r="L31" s="740"/>
      <c r="M31" s="105"/>
    </row>
    <row r="32" spans="1:13" ht="12.75">
      <c r="A32" s="313" t="s">
        <v>532</v>
      </c>
      <c r="B32" s="740"/>
      <c r="C32" s="740"/>
      <c r="D32" s="740"/>
      <c r="E32" s="740"/>
      <c r="F32" s="314">
        <f t="shared" si="0"/>
        <v>0</v>
      </c>
      <c r="G32" s="314">
        <f t="shared" si="1"/>
        <v>0</v>
      </c>
      <c r="H32" s="740"/>
      <c r="I32" s="740"/>
      <c r="J32" s="314">
        <f t="shared" si="2"/>
        <v>0</v>
      </c>
      <c r="K32" s="315">
        <f t="shared" si="3"/>
        <v>0</v>
      </c>
      <c r="L32" s="740"/>
      <c r="M32" s="105"/>
    </row>
    <row r="33" spans="1:13" ht="12.75">
      <c r="A33" s="313" t="s">
        <v>533</v>
      </c>
      <c r="B33" s="740"/>
      <c r="C33" s="740"/>
      <c r="D33" s="740"/>
      <c r="E33" s="740"/>
      <c r="F33" s="314">
        <f t="shared" si="0"/>
        <v>0</v>
      </c>
      <c r="G33" s="314">
        <f t="shared" si="1"/>
        <v>0</v>
      </c>
      <c r="H33" s="740"/>
      <c r="I33" s="740"/>
      <c r="J33" s="314">
        <f t="shared" si="2"/>
        <v>0</v>
      </c>
      <c r="K33" s="315">
        <f t="shared" si="3"/>
        <v>0</v>
      </c>
      <c r="L33" s="740"/>
      <c r="M33" s="105"/>
    </row>
    <row r="34" spans="1:13" ht="12.75">
      <c r="A34" s="313" t="s">
        <v>534</v>
      </c>
      <c r="B34" s="740"/>
      <c r="C34" s="740"/>
      <c r="D34" s="740"/>
      <c r="E34" s="740"/>
      <c r="F34" s="314">
        <f t="shared" si="0"/>
        <v>0</v>
      </c>
      <c r="G34" s="314">
        <f t="shared" si="1"/>
        <v>0</v>
      </c>
      <c r="H34" s="740"/>
      <c r="I34" s="740"/>
      <c r="J34" s="314">
        <f t="shared" si="2"/>
        <v>0</v>
      </c>
      <c r="K34" s="315">
        <f t="shared" si="3"/>
        <v>0</v>
      </c>
      <c r="L34" s="740"/>
      <c r="M34" s="105"/>
    </row>
    <row r="35" spans="1:13" ht="12.75">
      <c r="A35" s="313" t="s">
        <v>535</v>
      </c>
      <c r="B35" s="740"/>
      <c r="C35" s="740"/>
      <c r="D35" s="740"/>
      <c r="E35" s="740"/>
      <c r="F35" s="314">
        <f t="shared" si="0"/>
        <v>0</v>
      </c>
      <c r="G35" s="314">
        <f t="shared" si="1"/>
        <v>0</v>
      </c>
      <c r="H35" s="740"/>
      <c r="I35" s="740"/>
      <c r="J35" s="314">
        <f t="shared" si="2"/>
        <v>0</v>
      </c>
      <c r="K35" s="315">
        <f t="shared" si="3"/>
        <v>0</v>
      </c>
      <c r="L35" s="740"/>
      <c r="M35" s="105"/>
    </row>
    <row r="36" spans="1:13" ht="12.75">
      <c r="A36" s="313" t="s">
        <v>536</v>
      </c>
      <c r="B36" s="740"/>
      <c r="C36" s="740"/>
      <c r="D36" s="740"/>
      <c r="E36" s="740"/>
      <c r="F36" s="314">
        <f t="shared" si="0"/>
        <v>0</v>
      </c>
      <c r="G36" s="314">
        <f t="shared" si="1"/>
        <v>0</v>
      </c>
      <c r="H36" s="740"/>
      <c r="I36" s="740"/>
      <c r="J36" s="314">
        <f t="shared" si="2"/>
        <v>0</v>
      </c>
      <c r="K36" s="315">
        <f t="shared" si="3"/>
        <v>0</v>
      </c>
      <c r="L36" s="740"/>
      <c r="M36" s="105"/>
    </row>
    <row r="37" spans="1:13" ht="12.75">
      <c r="A37" s="313" t="s">
        <v>537</v>
      </c>
      <c r="B37" s="740"/>
      <c r="C37" s="740"/>
      <c r="D37" s="740"/>
      <c r="E37" s="740"/>
      <c r="F37" s="314">
        <f t="shared" si="0"/>
        <v>0</v>
      </c>
      <c r="G37" s="314">
        <f t="shared" si="1"/>
        <v>0</v>
      </c>
      <c r="H37" s="740"/>
      <c r="I37" s="740"/>
      <c r="J37" s="314">
        <f t="shared" si="2"/>
        <v>0</v>
      </c>
      <c r="K37" s="315">
        <f t="shared" si="3"/>
        <v>0</v>
      </c>
      <c r="L37" s="740"/>
      <c r="M37" s="105"/>
    </row>
    <row r="38" spans="1:13" ht="12.75">
      <c r="A38" s="313" t="s">
        <v>522</v>
      </c>
      <c r="B38" s="740"/>
      <c r="C38" s="740"/>
      <c r="D38" s="740"/>
      <c r="E38" s="740"/>
      <c r="F38" s="314">
        <f t="shared" si="0"/>
        <v>0</v>
      </c>
      <c r="G38" s="314">
        <f t="shared" si="1"/>
        <v>0</v>
      </c>
      <c r="H38" s="740"/>
      <c r="I38" s="740"/>
      <c r="J38" s="314">
        <f t="shared" si="2"/>
        <v>0</v>
      </c>
      <c r="K38" s="315">
        <f t="shared" si="3"/>
        <v>0</v>
      </c>
      <c r="L38" s="740"/>
      <c r="M38" s="105"/>
    </row>
    <row r="39" spans="1:13" ht="12.75">
      <c r="A39" s="312" t="s">
        <v>349</v>
      </c>
      <c r="B39" s="316">
        <f>SUM(B40:B43)</f>
        <v>0</v>
      </c>
      <c r="C39" s="316">
        <f>SUM(C40:C43)</f>
        <v>0</v>
      </c>
      <c r="D39" s="316">
        <f>SUM(D40:D43)</f>
        <v>0</v>
      </c>
      <c r="E39" s="316">
        <f>SUM(E40:E43)</f>
        <v>0</v>
      </c>
      <c r="F39" s="316">
        <f t="shared" si="0"/>
        <v>0</v>
      </c>
      <c r="G39" s="316">
        <f t="shared" si="1"/>
        <v>0</v>
      </c>
      <c r="H39" s="316">
        <f>SUM(H40:H43)</f>
        <v>0</v>
      </c>
      <c r="I39" s="316">
        <f>SUM(I40:I43)</f>
        <v>0</v>
      </c>
      <c r="J39" s="316">
        <f t="shared" si="2"/>
        <v>0</v>
      </c>
      <c r="K39" s="316">
        <f t="shared" si="3"/>
        <v>0</v>
      </c>
      <c r="L39" s="316">
        <f>SUM(L40:L43)</f>
        <v>0</v>
      </c>
      <c r="M39" s="105"/>
    </row>
    <row r="40" spans="1:13" ht="12.75">
      <c r="A40" s="313" t="s">
        <v>538</v>
      </c>
      <c r="B40" s="740"/>
      <c r="C40" s="740"/>
      <c r="D40" s="740"/>
      <c r="E40" s="740"/>
      <c r="F40" s="314">
        <f t="shared" si="0"/>
        <v>0</v>
      </c>
      <c r="G40" s="314">
        <f t="shared" si="1"/>
        <v>0</v>
      </c>
      <c r="H40" s="740"/>
      <c r="I40" s="740"/>
      <c r="J40" s="314">
        <f t="shared" si="2"/>
        <v>0</v>
      </c>
      <c r="K40" s="315">
        <f t="shared" si="3"/>
        <v>0</v>
      </c>
      <c r="L40" s="740"/>
      <c r="M40" s="105"/>
    </row>
    <row r="41" spans="1:13" ht="12.75">
      <c r="A41" s="313" t="s">
        <v>539</v>
      </c>
      <c r="B41" s="740"/>
      <c r="C41" s="740"/>
      <c r="D41" s="740"/>
      <c r="E41" s="740"/>
      <c r="F41" s="314">
        <f t="shared" si="0"/>
        <v>0</v>
      </c>
      <c r="G41" s="314">
        <f t="shared" si="1"/>
        <v>0</v>
      </c>
      <c r="H41" s="740"/>
      <c r="I41" s="740"/>
      <c r="J41" s="314">
        <f t="shared" si="2"/>
        <v>0</v>
      </c>
      <c r="K41" s="315">
        <f t="shared" si="3"/>
        <v>0</v>
      </c>
      <c r="L41" s="740"/>
      <c r="M41" s="105"/>
    </row>
    <row r="42" spans="1:13" ht="12.75">
      <c r="A42" s="313" t="s">
        <v>540</v>
      </c>
      <c r="B42" s="740"/>
      <c r="C42" s="740"/>
      <c r="D42" s="740"/>
      <c r="E42" s="740"/>
      <c r="F42" s="314">
        <f t="shared" si="0"/>
        <v>0</v>
      </c>
      <c r="G42" s="314">
        <f t="shared" si="1"/>
        <v>0</v>
      </c>
      <c r="H42" s="740"/>
      <c r="I42" s="740"/>
      <c r="J42" s="314">
        <f t="shared" si="2"/>
        <v>0</v>
      </c>
      <c r="K42" s="315">
        <f t="shared" si="3"/>
        <v>0</v>
      </c>
      <c r="L42" s="740"/>
      <c r="M42" s="105"/>
    </row>
    <row r="43" spans="1:13" ht="12.75">
      <c r="A43" s="313" t="s">
        <v>522</v>
      </c>
      <c r="B43" s="740"/>
      <c r="C43" s="740"/>
      <c r="D43" s="740"/>
      <c r="E43" s="740"/>
      <c r="F43" s="314">
        <f t="shared" si="0"/>
        <v>0</v>
      </c>
      <c r="G43" s="314">
        <f t="shared" si="1"/>
        <v>0</v>
      </c>
      <c r="H43" s="740"/>
      <c r="I43" s="740"/>
      <c r="J43" s="314">
        <f t="shared" si="2"/>
        <v>0</v>
      </c>
      <c r="K43" s="315">
        <f t="shared" si="3"/>
        <v>0</v>
      </c>
      <c r="L43" s="740"/>
      <c r="M43" s="105"/>
    </row>
    <row r="44" spans="1:13" ht="12.75">
      <c r="A44" s="312" t="s">
        <v>350</v>
      </c>
      <c r="B44" s="316">
        <f>SUM(B45:B48)</f>
        <v>17680</v>
      </c>
      <c r="C44" s="316">
        <f>SUM(C45:C48)</f>
        <v>17680</v>
      </c>
      <c r="D44" s="316">
        <f>SUM(D45:D48)</f>
        <v>0</v>
      </c>
      <c r="E44" s="316">
        <f>SUM(E45:E48)</f>
        <v>0</v>
      </c>
      <c r="F44" s="316">
        <f t="shared" si="0"/>
        <v>0</v>
      </c>
      <c r="G44" s="316">
        <f t="shared" si="1"/>
        <v>17680</v>
      </c>
      <c r="H44" s="316">
        <f>SUM(H45:H48)</f>
        <v>0</v>
      </c>
      <c r="I44" s="316">
        <f>SUM(I45:I48)</f>
        <v>0</v>
      </c>
      <c r="J44" s="316">
        <f t="shared" si="2"/>
        <v>0</v>
      </c>
      <c r="K44" s="316">
        <f t="shared" si="3"/>
        <v>17680</v>
      </c>
      <c r="L44" s="316">
        <f>SUM(L45:L48)</f>
        <v>0</v>
      </c>
      <c r="M44" s="105"/>
    </row>
    <row r="45" spans="1:13" ht="12.75">
      <c r="A45" s="313" t="s">
        <v>541</v>
      </c>
      <c r="B45" s="740">
        <v>17680</v>
      </c>
      <c r="C45" s="740">
        <v>17680</v>
      </c>
      <c r="D45" s="740">
        <v>0</v>
      </c>
      <c r="E45" s="740">
        <v>0</v>
      </c>
      <c r="F45" s="314">
        <f t="shared" si="0"/>
        <v>0</v>
      </c>
      <c r="G45" s="314">
        <f t="shared" si="1"/>
        <v>17680</v>
      </c>
      <c r="H45" s="740">
        <v>0</v>
      </c>
      <c r="I45" s="740">
        <v>0</v>
      </c>
      <c r="J45" s="314">
        <f t="shared" si="2"/>
        <v>0</v>
      </c>
      <c r="K45" s="315">
        <f t="shared" si="3"/>
        <v>17680</v>
      </c>
      <c r="L45" s="740">
        <v>0</v>
      </c>
      <c r="M45" s="105"/>
    </row>
    <row r="46" spans="1:13" ht="12.75">
      <c r="A46" s="313" t="s">
        <v>542</v>
      </c>
      <c r="B46" s="740"/>
      <c r="C46" s="740"/>
      <c r="D46" s="740"/>
      <c r="E46" s="740"/>
      <c r="F46" s="314">
        <f t="shared" si="0"/>
        <v>0</v>
      </c>
      <c r="G46" s="314">
        <f t="shared" si="1"/>
        <v>0</v>
      </c>
      <c r="H46" s="740"/>
      <c r="I46" s="740"/>
      <c r="J46" s="314">
        <f t="shared" si="2"/>
        <v>0</v>
      </c>
      <c r="K46" s="315">
        <f t="shared" si="3"/>
        <v>0</v>
      </c>
      <c r="L46" s="740"/>
      <c r="M46" s="105"/>
    </row>
    <row r="47" spans="1:13" ht="12.75">
      <c r="A47" s="313" t="s">
        <v>543</v>
      </c>
      <c r="B47" s="740"/>
      <c r="C47" s="740"/>
      <c r="D47" s="740"/>
      <c r="E47" s="740"/>
      <c r="F47" s="314">
        <f t="shared" si="0"/>
        <v>0</v>
      </c>
      <c r="G47" s="314">
        <f t="shared" si="1"/>
        <v>0</v>
      </c>
      <c r="H47" s="740"/>
      <c r="I47" s="740"/>
      <c r="J47" s="314">
        <f t="shared" si="2"/>
        <v>0</v>
      </c>
      <c r="K47" s="315">
        <f t="shared" si="3"/>
        <v>0</v>
      </c>
      <c r="L47" s="740"/>
      <c r="M47" s="105"/>
    </row>
    <row r="48" spans="1:13" ht="12.75">
      <c r="A48" s="313" t="s">
        <v>522</v>
      </c>
      <c r="B48" s="740"/>
      <c r="C48" s="740"/>
      <c r="D48" s="740"/>
      <c r="E48" s="740"/>
      <c r="F48" s="314">
        <f t="shared" si="0"/>
        <v>0</v>
      </c>
      <c r="G48" s="314">
        <f t="shared" si="1"/>
        <v>0</v>
      </c>
      <c r="H48" s="740"/>
      <c r="I48" s="740"/>
      <c r="J48" s="314">
        <f t="shared" si="2"/>
        <v>0</v>
      </c>
      <c r="K48" s="315">
        <f t="shared" si="3"/>
        <v>0</v>
      </c>
      <c r="L48" s="740"/>
      <c r="M48" s="105"/>
    </row>
    <row r="49" spans="1:13" ht="12.75">
      <c r="A49" s="312" t="s">
        <v>351</v>
      </c>
      <c r="B49" s="241">
        <f>SUM(B50:B52)</f>
        <v>0</v>
      </c>
      <c r="C49" s="241">
        <f>SUM(C50:C52)</f>
        <v>0</v>
      </c>
      <c r="D49" s="241">
        <f>SUM(D50:D52)</f>
        <v>0</v>
      </c>
      <c r="E49" s="241">
        <f>SUM(E50:E52)</f>
        <v>0</v>
      </c>
      <c r="F49" s="241">
        <f t="shared" si="0"/>
        <v>0</v>
      </c>
      <c r="G49" s="241">
        <f t="shared" si="1"/>
        <v>0</v>
      </c>
      <c r="H49" s="241">
        <f>SUM(H50:H52)</f>
        <v>0</v>
      </c>
      <c r="I49" s="241">
        <f>SUM(I50:I52)</f>
        <v>0</v>
      </c>
      <c r="J49" s="241">
        <f t="shared" si="2"/>
        <v>0</v>
      </c>
      <c r="K49" s="241">
        <f t="shared" si="3"/>
        <v>0</v>
      </c>
      <c r="L49" s="241">
        <f>SUM(L50:L52)</f>
        <v>0</v>
      </c>
      <c r="M49" s="105"/>
    </row>
    <row r="50" spans="1:13" ht="12.75">
      <c r="A50" s="313" t="s">
        <v>544</v>
      </c>
      <c r="B50" s="740"/>
      <c r="C50" s="740"/>
      <c r="D50" s="740"/>
      <c r="E50" s="740"/>
      <c r="F50" s="314">
        <f t="shared" si="0"/>
        <v>0</v>
      </c>
      <c r="G50" s="314">
        <f t="shared" si="1"/>
        <v>0</v>
      </c>
      <c r="H50" s="740"/>
      <c r="I50" s="740"/>
      <c r="J50" s="314">
        <f t="shared" si="2"/>
        <v>0</v>
      </c>
      <c r="K50" s="315">
        <f t="shared" si="3"/>
        <v>0</v>
      </c>
      <c r="L50" s="740"/>
      <c r="M50" s="105"/>
    </row>
    <row r="51" spans="1:13" ht="12.75">
      <c r="A51" s="313" t="s">
        <v>545</v>
      </c>
      <c r="B51" s="740"/>
      <c r="C51" s="740"/>
      <c r="D51" s="740"/>
      <c r="E51" s="740"/>
      <c r="F51" s="314">
        <f t="shared" si="0"/>
        <v>0</v>
      </c>
      <c r="G51" s="314">
        <f t="shared" si="1"/>
        <v>0</v>
      </c>
      <c r="H51" s="740"/>
      <c r="I51" s="740"/>
      <c r="J51" s="314">
        <f t="shared" si="2"/>
        <v>0</v>
      </c>
      <c r="K51" s="315">
        <f t="shared" si="3"/>
        <v>0</v>
      </c>
      <c r="L51" s="740"/>
      <c r="M51" s="105"/>
    </row>
    <row r="52" spans="1:13" ht="12.75">
      <c r="A52" s="313" t="s">
        <v>522</v>
      </c>
      <c r="B52" s="740"/>
      <c r="C52" s="740"/>
      <c r="D52" s="740"/>
      <c r="E52" s="740"/>
      <c r="F52" s="314">
        <f t="shared" si="0"/>
        <v>0</v>
      </c>
      <c r="G52" s="314">
        <f t="shared" si="1"/>
        <v>0</v>
      </c>
      <c r="H52" s="740"/>
      <c r="I52" s="740"/>
      <c r="J52" s="314">
        <f t="shared" si="2"/>
        <v>0</v>
      </c>
      <c r="K52" s="315">
        <f t="shared" si="3"/>
        <v>0</v>
      </c>
      <c r="L52" s="740"/>
      <c r="M52" s="105"/>
    </row>
    <row r="53" spans="1:13" ht="12.75">
      <c r="A53" s="312" t="s">
        <v>352</v>
      </c>
      <c r="B53" s="316">
        <f>SUM(B54:B58)</f>
        <v>596960</v>
      </c>
      <c r="C53" s="316">
        <f>SUM(C54:C58)</f>
        <v>656960</v>
      </c>
      <c r="D53" s="316">
        <f>SUM(D54:D58)</f>
        <v>0</v>
      </c>
      <c r="E53" s="316">
        <f>SUM(E54:E58)</f>
        <v>62137.420000000006</v>
      </c>
      <c r="F53" s="316">
        <f t="shared" si="0"/>
        <v>0.00427949812300988</v>
      </c>
      <c r="G53" s="316">
        <f t="shared" si="1"/>
        <v>594822.58</v>
      </c>
      <c r="H53" s="316">
        <f>SUM(H54:H58)</f>
        <v>0</v>
      </c>
      <c r="I53" s="316">
        <f>SUM(I54:I58)</f>
        <v>62137.420000000006</v>
      </c>
      <c r="J53" s="316">
        <f t="shared" si="2"/>
        <v>0</v>
      </c>
      <c r="K53" s="316">
        <f t="shared" si="3"/>
        <v>594822.58</v>
      </c>
      <c r="L53" s="316">
        <f>SUM(L54:L58)</f>
        <v>0</v>
      </c>
      <c r="M53" s="105"/>
    </row>
    <row r="54" spans="1:13" ht="12.75">
      <c r="A54" s="313" t="s">
        <v>546</v>
      </c>
      <c r="B54" s="740">
        <v>70720</v>
      </c>
      <c r="C54" s="740">
        <v>130720</v>
      </c>
      <c r="D54" s="740">
        <v>0</v>
      </c>
      <c r="E54" s="740">
        <v>56126.62</v>
      </c>
      <c r="F54" s="314">
        <f t="shared" si="0"/>
        <v>0.00386552523327954</v>
      </c>
      <c r="G54" s="314">
        <f t="shared" si="1"/>
        <v>74593.38</v>
      </c>
      <c r="H54" s="740">
        <v>0</v>
      </c>
      <c r="I54" s="740">
        <v>56126.62</v>
      </c>
      <c r="J54" s="314">
        <f t="shared" si="2"/>
        <v>0</v>
      </c>
      <c r="K54" s="315">
        <f t="shared" si="3"/>
        <v>74593.38</v>
      </c>
      <c r="L54" s="740">
        <v>0</v>
      </c>
      <c r="M54" s="105"/>
    </row>
    <row r="55" spans="1:13" ht="12.75">
      <c r="A55" s="313" t="s">
        <v>547</v>
      </c>
      <c r="B55" s="740">
        <v>9360</v>
      </c>
      <c r="C55" s="740">
        <v>9360</v>
      </c>
      <c r="D55" s="740">
        <v>0</v>
      </c>
      <c r="E55" s="740">
        <v>0</v>
      </c>
      <c r="F55" s="314">
        <f t="shared" si="0"/>
        <v>0</v>
      </c>
      <c r="G55" s="314">
        <f t="shared" si="1"/>
        <v>9360</v>
      </c>
      <c r="H55" s="740">
        <v>0</v>
      </c>
      <c r="I55" s="740">
        <v>0</v>
      </c>
      <c r="J55" s="314">
        <f t="shared" si="2"/>
        <v>0</v>
      </c>
      <c r="K55" s="315">
        <f t="shared" si="3"/>
        <v>9360</v>
      </c>
      <c r="L55" s="740">
        <v>0</v>
      </c>
      <c r="M55" s="105"/>
    </row>
    <row r="56" spans="1:13" ht="12.75">
      <c r="A56" s="313" t="s">
        <v>548</v>
      </c>
      <c r="B56" s="740">
        <v>249600</v>
      </c>
      <c r="C56" s="740">
        <v>249600</v>
      </c>
      <c r="D56" s="740">
        <v>0</v>
      </c>
      <c r="E56" s="740">
        <v>6010.8</v>
      </c>
      <c r="F56" s="314">
        <f t="shared" si="0"/>
        <v>0.00041397288973033934</v>
      </c>
      <c r="G56" s="314">
        <f t="shared" si="1"/>
        <v>243589.2</v>
      </c>
      <c r="H56" s="740">
        <v>0</v>
      </c>
      <c r="I56" s="740">
        <v>6010.8</v>
      </c>
      <c r="J56" s="314">
        <f t="shared" si="2"/>
        <v>0</v>
      </c>
      <c r="K56" s="315">
        <f t="shared" si="3"/>
        <v>243589.2</v>
      </c>
      <c r="L56" s="740">
        <v>0</v>
      </c>
      <c r="M56" s="105"/>
    </row>
    <row r="57" spans="1:13" ht="12.75">
      <c r="A57" s="313" t="s">
        <v>549</v>
      </c>
      <c r="B57" s="740">
        <v>267280</v>
      </c>
      <c r="C57" s="740">
        <v>267280</v>
      </c>
      <c r="D57" s="740">
        <v>0</v>
      </c>
      <c r="E57" s="740">
        <v>0</v>
      </c>
      <c r="F57" s="314">
        <f t="shared" si="0"/>
        <v>0</v>
      </c>
      <c r="G57" s="314">
        <f t="shared" si="1"/>
        <v>267280</v>
      </c>
      <c r="H57" s="740">
        <v>0</v>
      </c>
      <c r="I57" s="740">
        <v>0</v>
      </c>
      <c r="J57" s="314">
        <f t="shared" si="2"/>
        <v>0</v>
      </c>
      <c r="K57" s="315">
        <f t="shared" si="3"/>
        <v>267280</v>
      </c>
      <c r="L57" s="740">
        <v>0</v>
      </c>
      <c r="M57" s="105"/>
    </row>
    <row r="58" spans="1:13" ht="12.75">
      <c r="A58" s="313" t="s">
        <v>522</v>
      </c>
      <c r="B58" s="740"/>
      <c r="C58" s="740"/>
      <c r="D58" s="740"/>
      <c r="E58" s="740"/>
      <c r="F58" s="314">
        <f t="shared" si="0"/>
        <v>0</v>
      </c>
      <c r="G58" s="314">
        <f t="shared" si="1"/>
        <v>0</v>
      </c>
      <c r="H58" s="740"/>
      <c r="I58" s="740"/>
      <c r="J58" s="314">
        <f t="shared" si="2"/>
        <v>0</v>
      </c>
      <c r="K58" s="315">
        <f t="shared" si="3"/>
        <v>0</v>
      </c>
      <c r="L58" s="740"/>
      <c r="M58" s="105"/>
    </row>
    <row r="59" spans="1:13" ht="12.75">
      <c r="A59" s="312" t="s">
        <v>353</v>
      </c>
      <c r="B59" s="316">
        <f>SUM(B60:B64)</f>
        <v>0</v>
      </c>
      <c r="C59" s="316">
        <f>SUM(C60:C64)</f>
        <v>0</v>
      </c>
      <c r="D59" s="316">
        <f>SUM(D60:D64)</f>
        <v>0</v>
      </c>
      <c r="E59" s="316">
        <f>SUM(E60:E64)</f>
        <v>0</v>
      </c>
      <c r="F59" s="316">
        <f t="shared" si="0"/>
        <v>0</v>
      </c>
      <c r="G59" s="316">
        <f t="shared" si="1"/>
        <v>0</v>
      </c>
      <c r="H59" s="316">
        <f>SUM(H60:H64)</f>
        <v>0</v>
      </c>
      <c r="I59" s="316">
        <f>SUM(I60:I64)</f>
        <v>0</v>
      </c>
      <c r="J59" s="316">
        <f t="shared" si="2"/>
        <v>0</v>
      </c>
      <c r="K59" s="316">
        <f t="shared" si="3"/>
        <v>0</v>
      </c>
      <c r="L59" s="316">
        <f>SUM(L60:L64)</f>
        <v>0</v>
      </c>
      <c r="M59" s="105"/>
    </row>
    <row r="60" spans="1:13" ht="12.75">
      <c r="A60" s="313" t="s">
        <v>550</v>
      </c>
      <c r="B60" s="740"/>
      <c r="C60" s="740"/>
      <c r="D60" s="740"/>
      <c r="E60" s="740"/>
      <c r="F60" s="314">
        <f t="shared" si="0"/>
        <v>0</v>
      </c>
      <c r="G60" s="314">
        <f t="shared" si="1"/>
        <v>0</v>
      </c>
      <c r="H60" s="740"/>
      <c r="I60" s="740"/>
      <c r="J60" s="314">
        <f t="shared" si="2"/>
        <v>0</v>
      </c>
      <c r="K60" s="315">
        <f t="shared" si="3"/>
        <v>0</v>
      </c>
      <c r="L60" s="740"/>
      <c r="M60" s="105"/>
    </row>
    <row r="61" spans="1:13" ht="12.75">
      <c r="A61" s="313" t="s">
        <v>551</v>
      </c>
      <c r="B61" s="740"/>
      <c r="C61" s="740"/>
      <c r="D61" s="740"/>
      <c r="E61" s="740"/>
      <c r="F61" s="314">
        <f t="shared" si="0"/>
        <v>0</v>
      </c>
      <c r="G61" s="314">
        <f t="shared" si="1"/>
        <v>0</v>
      </c>
      <c r="H61" s="740"/>
      <c r="I61" s="740"/>
      <c r="J61" s="314">
        <f t="shared" si="2"/>
        <v>0</v>
      </c>
      <c r="K61" s="315">
        <f t="shared" si="3"/>
        <v>0</v>
      </c>
      <c r="L61" s="740"/>
      <c r="M61" s="105"/>
    </row>
    <row r="62" spans="1:13" ht="12.75">
      <c r="A62" s="313" t="s">
        <v>552</v>
      </c>
      <c r="B62" s="740"/>
      <c r="C62" s="740"/>
      <c r="D62" s="740"/>
      <c r="E62" s="740"/>
      <c r="F62" s="314">
        <f t="shared" si="0"/>
        <v>0</v>
      </c>
      <c r="G62" s="314">
        <f t="shared" si="1"/>
        <v>0</v>
      </c>
      <c r="H62" s="740"/>
      <c r="I62" s="740"/>
      <c r="J62" s="314">
        <f t="shared" si="2"/>
        <v>0</v>
      </c>
      <c r="K62" s="315">
        <f t="shared" si="3"/>
        <v>0</v>
      </c>
      <c r="L62" s="740"/>
      <c r="M62" s="105"/>
    </row>
    <row r="63" spans="1:13" ht="12.75">
      <c r="A63" s="313" t="s">
        <v>553</v>
      </c>
      <c r="B63" s="740"/>
      <c r="C63" s="740"/>
      <c r="D63" s="740"/>
      <c r="E63" s="740"/>
      <c r="F63" s="314">
        <f t="shared" si="0"/>
        <v>0</v>
      </c>
      <c r="G63" s="314">
        <f t="shared" si="1"/>
        <v>0</v>
      </c>
      <c r="H63" s="740"/>
      <c r="I63" s="740"/>
      <c r="J63" s="314">
        <f t="shared" si="2"/>
        <v>0</v>
      </c>
      <c r="K63" s="315">
        <f t="shared" si="3"/>
        <v>0</v>
      </c>
      <c r="L63" s="740"/>
      <c r="M63" s="105"/>
    </row>
    <row r="64" spans="1:13" ht="12.75">
      <c r="A64" s="313" t="s">
        <v>522</v>
      </c>
      <c r="B64" s="740"/>
      <c r="C64" s="740"/>
      <c r="D64" s="740"/>
      <c r="E64" s="740"/>
      <c r="F64" s="314">
        <f t="shared" si="0"/>
        <v>0</v>
      </c>
      <c r="G64" s="314">
        <f t="shared" si="1"/>
        <v>0</v>
      </c>
      <c r="H64" s="740"/>
      <c r="I64" s="740"/>
      <c r="J64" s="314">
        <f t="shared" si="2"/>
        <v>0</v>
      </c>
      <c r="K64" s="315">
        <f t="shared" si="3"/>
        <v>0</v>
      </c>
      <c r="L64" s="740"/>
      <c r="M64" s="105"/>
    </row>
    <row r="65" spans="1:13" ht="12.75">
      <c r="A65" s="312" t="s">
        <v>354</v>
      </c>
      <c r="B65" s="316">
        <f>SUM(B66:B72)</f>
        <v>4239630</v>
      </c>
      <c r="C65" s="316">
        <f>SUM(C66:C72)</f>
        <v>6294630</v>
      </c>
      <c r="D65" s="316">
        <f>SUM(D66:D72)</f>
        <v>0</v>
      </c>
      <c r="E65" s="316">
        <f>SUM(E66:E72)</f>
        <v>3090491.3400000003</v>
      </c>
      <c r="F65" s="316">
        <f t="shared" si="0"/>
        <v>0.21284681418553084</v>
      </c>
      <c r="G65" s="316">
        <f t="shared" si="1"/>
        <v>3204138.6599999997</v>
      </c>
      <c r="H65" s="316">
        <f>SUM(H66:H72)</f>
        <v>0</v>
      </c>
      <c r="I65" s="316">
        <f>SUM(I66:I72)</f>
        <v>3090491.3400000003</v>
      </c>
      <c r="J65" s="316">
        <f t="shared" si="2"/>
        <v>0</v>
      </c>
      <c r="K65" s="316">
        <f t="shared" si="3"/>
        <v>3204138.6599999997</v>
      </c>
      <c r="L65" s="316">
        <f>SUM(L66:L72)</f>
        <v>0</v>
      </c>
      <c r="M65" s="105"/>
    </row>
    <row r="66" spans="1:13" ht="12.75">
      <c r="A66" s="313" t="s">
        <v>300</v>
      </c>
      <c r="B66" s="740">
        <v>1855560</v>
      </c>
      <c r="C66" s="740">
        <v>2425560</v>
      </c>
      <c r="D66" s="740">
        <v>0</v>
      </c>
      <c r="E66" s="740">
        <v>690798.48</v>
      </c>
      <c r="F66" s="314">
        <f t="shared" si="0"/>
        <v>0.04757633642558828</v>
      </c>
      <c r="G66" s="314">
        <f t="shared" si="1"/>
        <v>1734761.52</v>
      </c>
      <c r="H66" s="740">
        <v>0</v>
      </c>
      <c r="I66" s="740">
        <v>690798.48</v>
      </c>
      <c r="J66" s="314">
        <f t="shared" si="2"/>
        <v>0</v>
      </c>
      <c r="K66" s="315">
        <f t="shared" si="3"/>
        <v>1734761.52</v>
      </c>
      <c r="L66" s="740">
        <v>0</v>
      </c>
      <c r="M66" s="105"/>
    </row>
    <row r="67" spans="1:13" ht="12.75">
      <c r="A67" s="313" t="s">
        <v>301</v>
      </c>
      <c r="B67" s="740">
        <v>1353360</v>
      </c>
      <c r="C67" s="740">
        <v>2793360</v>
      </c>
      <c r="D67" s="740">
        <v>0</v>
      </c>
      <c r="E67" s="740">
        <v>2074002.79</v>
      </c>
      <c r="F67" s="314">
        <f t="shared" si="0"/>
        <v>0.14283970990302225</v>
      </c>
      <c r="G67" s="314">
        <f t="shared" si="1"/>
        <v>719357.21</v>
      </c>
      <c r="H67" s="740">
        <v>0</v>
      </c>
      <c r="I67" s="740">
        <v>2074002.79</v>
      </c>
      <c r="J67" s="314">
        <f t="shared" si="2"/>
        <v>0</v>
      </c>
      <c r="K67" s="315">
        <f t="shared" si="3"/>
        <v>719357.21</v>
      </c>
      <c r="L67" s="740">
        <v>0</v>
      </c>
      <c r="M67" s="105"/>
    </row>
    <row r="68" spans="1:13" ht="12.75">
      <c r="A68" s="313" t="s">
        <v>302</v>
      </c>
      <c r="B68" s="740"/>
      <c r="C68" s="740"/>
      <c r="D68" s="740"/>
      <c r="E68" s="740"/>
      <c r="F68" s="314">
        <f t="shared" si="0"/>
        <v>0</v>
      </c>
      <c r="G68" s="314">
        <f t="shared" si="1"/>
        <v>0</v>
      </c>
      <c r="H68" s="740"/>
      <c r="I68" s="740"/>
      <c r="J68" s="314">
        <f t="shared" si="2"/>
        <v>0</v>
      </c>
      <c r="K68" s="315">
        <f t="shared" si="3"/>
        <v>0</v>
      </c>
      <c r="L68" s="740"/>
      <c r="M68" s="105"/>
    </row>
    <row r="69" spans="1:13" ht="12.75">
      <c r="A69" s="313" t="s">
        <v>303</v>
      </c>
      <c r="B69" s="740">
        <v>91520</v>
      </c>
      <c r="C69" s="740">
        <v>136520</v>
      </c>
      <c r="D69" s="740">
        <v>0</v>
      </c>
      <c r="E69" s="740">
        <v>107900.68</v>
      </c>
      <c r="F69" s="314">
        <f t="shared" si="0"/>
        <v>0.007431283074377558</v>
      </c>
      <c r="G69" s="314">
        <f t="shared" si="1"/>
        <v>28619.320000000007</v>
      </c>
      <c r="H69" s="740">
        <v>0</v>
      </c>
      <c r="I69" s="740">
        <v>107900.68</v>
      </c>
      <c r="J69" s="314">
        <f t="shared" si="2"/>
        <v>0</v>
      </c>
      <c r="K69" s="315">
        <f t="shared" si="3"/>
        <v>28619.320000000007</v>
      </c>
      <c r="L69" s="740">
        <v>0</v>
      </c>
      <c r="M69" s="105"/>
    </row>
    <row r="70" spans="1:13" ht="12.75">
      <c r="A70" s="313" t="s">
        <v>304</v>
      </c>
      <c r="B70" s="740">
        <v>298550</v>
      </c>
      <c r="C70" s="740">
        <v>298550</v>
      </c>
      <c r="D70" s="740">
        <v>0</v>
      </c>
      <c r="E70" s="740">
        <v>53473.49</v>
      </c>
      <c r="F70" s="314">
        <f t="shared" si="0"/>
        <v>0.003682800156263127</v>
      </c>
      <c r="G70" s="314">
        <f t="shared" si="1"/>
        <v>245076.51</v>
      </c>
      <c r="H70" s="740">
        <v>0</v>
      </c>
      <c r="I70" s="740">
        <v>53473.49</v>
      </c>
      <c r="J70" s="314">
        <f t="shared" si="2"/>
        <v>0</v>
      </c>
      <c r="K70" s="315">
        <f t="shared" si="3"/>
        <v>245076.51</v>
      </c>
      <c r="L70" s="740">
        <v>0</v>
      </c>
      <c r="M70" s="105"/>
    </row>
    <row r="71" spans="1:13" ht="12.75">
      <c r="A71" s="313" t="s">
        <v>305</v>
      </c>
      <c r="B71" s="740">
        <v>640640</v>
      </c>
      <c r="C71" s="740">
        <v>640640</v>
      </c>
      <c r="D71" s="740">
        <v>0</v>
      </c>
      <c r="E71" s="740">
        <v>164315.9</v>
      </c>
      <c r="F71" s="314">
        <f t="shared" si="0"/>
        <v>0.011316684626279607</v>
      </c>
      <c r="G71" s="314">
        <f t="shared" si="1"/>
        <v>476324.1</v>
      </c>
      <c r="H71" s="740">
        <v>0</v>
      </c>
      <c r="I71" s="740">
        <v>164315.9</v>
      </c>
      <c r="J71" s="314">
        <f t="shared" si="2"/>
        <v>0</v>
      </c>
      <c r="K71" s="315">
        <f t="shared" si="3"/>
        <v>476324.1</v>
      </c>
      <c r="L71" s="740">
        <v>0</v>
      </c>
      <c r="M71" s="105"/>
    </row>
    <row r="72" spans="1:13" ht="12.75">
      <c r="A72" s="313" t="s">
        <v>522</v>
      </c>
      <c r="B72" s="740"/>
      <c r="C72" s="740"/>
      <c r="D72" s="740"/>
      <c r="E72" s="740"/>
      <c r="F72" s="314">
        <f t="shared" si="0"/>
        <v>0</v>
      </c>
      <c r="G72" s="314">
        <f t="shared" si="1"/>
        <v>0</v>
      </c>
      <c r="H72" s="740"/>
      <c r="I72" s="740"/>
      <c r="J72" s="314">
        <f t="shared" si="2"/>
        <v>0</v>
      </c>
      <c r="K72" s="315">
        <f t="shared" si="3"/>
        <v>0</v>
      </c>
      <c r="L72" s="740"/>
      <c r="M72" s="105"/>
    </row>
    <row r="73" spans="1:13" ht="12.75">
      <c r="A73" s="312" t="s">
        <v>355</v>
      </c>
      <c r="B73" s="316">
        <f>SUM(B74:B78)</f>
        <v>0</v>
      </c>
      <c r="C73" s="316">
        <f>SUM(C74:C78)</f>
        <v>0</v>
      </c>
      <c r="D73" s="316">
        <f>SUM(D74:D78)</f>
        <v>0</v>
      </c>
      <c r="E73" s="316">
        <f>SUM(E74:E78)</f>
        <v>0</v>
      </c>
      <c r="F73" s="316">
        <f t="shared" si="0"/>
        <v>0</v>
      </c>
      <c r="G73" s="316">
        <f t="shared" si="1"/>
        <v>0</v>
      </c>
      <c r="H73" s="316">
        <f>SUM(H74:H78)</f>
        <v>0</v>
      </c>
      <c r="I73" s="316">
        <f>SUM(I74:I78)</f>
        <v>0</v>
      </c>
      <c r="J73" s="316">
        <f t="shared" si="2"/>
        <v>0</v>
      </c>
      <c r="K73" s="316">
        <f t="shared" si="3"/>
        <v>0</v>
      </c>
      <c r="L73" s="316">
        <f>SUM(L74:L78)</f>
        <v>0</v>
      </c>
      <c r="M73" s="105"/>
    </row>
    <row r="74" spans="1:13" ht="12.75">
      <c r="A74" s="313" t="s">
        <v>554</v>
      </c>
      <c r="B74" s="740"/>
      <c r="C74" s="740"/>
      <c r="D74" s="740"/>
      <c r="E74" s="740"/>
      <c r="F74" s="314">
        <f t="shared" si="0"/>
        <v>0</v>
      </c>
      <c r="G74" s="314">
        <f t="shared" si="1"/>
        <v>0</v>
      </c>
      <c r="H74" s="740"/>
      <c r="I74" s="740"/>
      <c r="J74" s="314">
        <f t="shared" si="2"/>
        <v>0</v>
      </c>
      <c r="K74" s="315">
        <f t="shared" si="3"/>
        <v>0</v>
      </c>
      <c r="L74" s="740"/>
      <c r="M74" s="105"/>
    </row>
    <row r="75" spans="1:13" ht="12.75">
      <c r="A75" s="313" t="s">
        <v>555</v>
      </c>
      <c r="B75" s="740"/>
      <c r="C75" s="740"/>
      <c r="D75" s="740"/>
      <c r="E75" s="740"/>
      <c r="F75" s="314">
        <f t="shared" si="0"/>
        <v>0</v>
      </c>
      <c r="G75" s="314">
        <f t="shared" si="1"/>
        <v>0</v>
      </c>
      <c r="H75" s="740"/>
      <c r="I75" s="740"/>
      <c r="J75" s="314">
        <f t="shared" si="2"/>
        <v>0</v>
      </c>
      <c r="K75" s="315">
        <f t="shared" si="3"/>
        <v>0</v>
      </c>
      <c r="L75" s="740"/>
      <c r="M75" s="105"/>
    </row>
    <row r="76" spans="1:13" ht="12.75">
      <c r="A76" s="313" t="s">
        <v>556</v>
      </c>
      <c r="B76" s="740"/>
      <c r="C76" s="740"/>
      <c r="D76" s="740"/>
      <c r="E76" s="740"/>
      <c r="F76" s="314">
        <f t="shared" si="0"/>
        <v>0</v>
      </c>
      <c r="G76" s="314">
        <f t="shared" si="1"/>
        <v>0</v>
      </c>
      <c r="H76" s="740"/>
      <c r="I76" s="740"/>
      <c r="J76" s="314">
        <f t="shared" si="2"/>
        <v>0</v>
      </c>
      <c r="K76" s="315">
        <f t="shared" si="3"/>
        <v>0</v>
      </c>
      <c r="L76" s="740"/>
      <c r="M76" s="105"/>
    </row>
    <row r="77" spans="1:13" ht="12.75">
      <c r="A77" s="313" t="s">
        <v>557</v>
      </c>
      <c r="B77" s="740"/>
      <c r="C77" s="740"/>
      <c r="D77" s="740"/>
      <c r="E77" s="740"/>
      <c r="F77" s="314">
        <f t="shared" si="0"/>
        <v>0</v>
      </c>
      <c r="G77" s="314">
        <f t="shared" si="1"/>
        <v>0</v>
      </c>
      <c r="H77" s="740"/>
      <c r="I77" s="740"/>
      <c r="J77" s="314">
        <f t="shared" si="2"/>
        <v>0</v>
      </c>
      <c r="K77" s="315">
        <f t="shared" si="3"/>
        <v>0</v>
      </c>
      <c r="L77" s="740"/>
      <c r="M77" s="105"/>
    </row>
    <row r="78" spans="1:13" ht="12.75">
      <c r="A78" s="313" t="s">
        <v>522</v>
      </c>
      <c r="B78" s="740"/>
      <c r="C78" s="740"/>
      <c r="D78" s="740"/>
      <c r="E78" s="740"/>
      <c r="F78" s="314">
        <f aca="true" t="shared" si="4" ref="F78:F141">IF(E$182="",0,IF(E$182=0,0,E78/E$182))</f>
        <v>0</v>
      </c>
      <c r="G78" s="314">
        <f aca="true" t="shared" si="5" ref="G78:G141">+C78-E78</f>
        <v>0</v>
      </c>
      <c r="H78" s="740"/>
      <c r="I78" s="740"/>
      <c r="J78" s="314">
        <f aca="true" t="shared" si="6" ref="J78:J141">IF(I247="",0,IF(I247=0,0,I78/I$182))</f>
        <v>0</v>
      </c>
      <c r="K78" s="315">
        <f aca="true" t="shared" si="7" ref="K78:K141">+C78-I78</f>
        <v>0</v>
      </c>
      <c r="L78" s="740"/>
      <c r="M78" s="105"/>
    </row>
    <row r="79" spans="1:13" ht="12.75">
      <c r="A79" s="312" t="s">
        <v>356</v>
      </c>
      <c r="B79" s="316">
        <f>SUM(B80:B87)</f>
        <v>10568080</v>
      </c>
      <c r="C79" s="316">
        <f>SUM(C80:C87)</f>
        <v>13878530.5</v>
      </c>
      <c r="D79" s="316">
        <f>SUM(D80:D87)</f>
        <v>1844891.4</v>
      </c>
      <c r="E79" s="316">
        <f>SUM(E80:E87)</f>
        <v>8673947.09</v>
      </c>
      <c r="F79" s="316">
        <f t="shared" si="4"/>
        <v>0.5973878588898928</v>
      </c>
      <c r="G79" s="316">
        <f t="shared" si="5"/>
        <v>5204583.41</v>
      </c>
      <c r="H79" s="316">
        <f>SUM(H80:H87)</f>
        <v>1844891.4</v>
      </c>
      <c r="I79" s="316">
        <f>SUM(I80:I87)</f>
        <v>8673947.09</v>
      </c>
      <c r="J79" s="316">
        <f t="shared" si="6"/>
        <v>0</v>
      </c>
      <c r="K79" s="316">
        <f t="shared" si="7"/>
        <v>5204583.41</v>
      </c>
      <c r="L79" s="316">
        <f>SUM(L80:L87)</f>
        <v>0</v>
      </c>
      <c r="M79" s="105"/>
    </row>
    <row r="80" spans="1:13" ht="12.75">
      <c r="A80" s="313" t="s">
        <v>558</v>
      </c>
      <c r="B80" s="740">
        <v>10058480</v>
      </c>
      <c r="C80" s="740">
        <v>13348930.5</v>
      </c>
      <c r="D80" s="740">
        <v>1844891.4</v>
      </c>
      <c r="E80" s="740">
        <v>8657392.24</v>
      </c>
      <c r="F80" s="314">
        <f t="shared" si="4"/>
        <v>0.596247701324585</v>
      </c>
      <c r="G80" s="314">
        <f t="shared" si="5"/>
        <v>4691538.26</v>
      </c>
      <c r="H80" s="740">
        <v>1844891.4</v>
      </c>
      <c r="I80" s="740">
        <v>8657392.24</v>
      </c>
      <c r="J80" s="314">
        <f t="shared" si="6"/>
        <v>0</v>
      </c>
      <c r="K80" s="315">
        <f t="shared" si="7"/>
        <v>4691538.26</v>
      </c>
      <c r="L80" s="740">
        <v>0</v>
      </c>
      <c r="M80" s="105"/>
    </row>
    <row r="81" spans="1:13" ht="12.75">
      <c r="A81" s="313" t="s">
        <v>559</v>
      </c>
      <c r="B81" s="740">
        <v>29120</v>
      </c>
      <c r="C81" s="740">
        <v>29120</v>
      </c>
      <c r="D81" s="740">
        <v>0</v>
      </c>
      <c r="E81" s="740">
        <v>0</v>
      </c>
      <c r="F81" s="314">
        <f t="shared" si="4"/>
        <v>0</v>
      </c>
      <c r="G81" s="314">
        <f t="shared" si="5"/>
        <v>29120</v>
      </c>
      <c r="H81" s="740">
        <v>0</v>
      </c>
      <c r="I81" s="740">
        <v>0</v>
      </c>
      <c r="J81" s="314">
        <f t="shared" si="6"/>
        <v>0</v>
      </c>
      <c r="K81" s="315">
        <f t="shared" si="7"/>
        <v>29120</v>
      </c>
      <c r="L81" s="740">
        <v>0</v>
      </c>
      <c r="M81" s="105"/>
    </row>
    <row r="82" spans="1:13" ht="12.75">
      <c r="A82" s="313" t="s">
        <v>560</v>
      </c>
      <c r="B82" s="740"/>
      <c r="C82" s="740"/>
      <c r="D82" s="740"/>
      <c r="E82" s="740"/>
      <c r="F82" s="314">
        <f t="shared" si="4"/>
        <v>0</v>
      </c>
      <c r="G82" s="314">
        <f t="shared" si="5"/>
        <v>0</v>
      </c>
      <c r="H82" s="740"/>
      <c r="I82" s="740"/>
      <c r="J82" s="314">
        <f t="shared" si="6"/>
        <v>0</v>
      </c>
      <c r="K82" s="315">
        <f t="shared" si="7"/>
        <v>0</v>
      </c>
      <c r="L82" s="740"/>
      <c r="M82" s="105"/>
    </row>
    <row r="83" spans="1:13" ht="12.75">
      <c r="A83" s="313" t="s">
        <v>561</v>
      </c>
      <c r="B83" s="740">
        <v>22880</v>
      </c>
      <c r="C83" s="740">
        <v>22880</v>
      </c>
      <c r="D83" s="740">
        <v>0</v>
      </c>
      <c r="E83" s="740">
        <v>0</v>
      </c>
      <c r="F83" s="314">
        <f t="shared" si="4"/>
        <v>0</v>
      </c>
      <c r="G83" s="314">
        <f t="shared" si="5"/>
        <v>22880</v>
      </c>
      <c r="H83" s="740">
        <v>0</v>
      </c>
      <c r="I83" s="740">
        <v>0</v>
      </c>
      <c r="J83" s="314">
        <f t="shared" si="6"/>
        <v>0</v>
      </c>
      <c r="K83" s="315">
        <f t="shared" si="7"/>
        <v>22880</v>
      </c>
      <c r="L83" s="740">
        <v>0</v>
      </c>
      <c r="M83" s="105"/>
    </row>
    <row r="84" spans="1:13" ht="12.75">
      <c r="A84" s="313" t="s">
        <v>562</v>
      </c>
      <c r="B84" s="740">
        <v>457600</v>
      </c>
      <c r="C84" s="740">
        <v>477600</v>
      </c>
      <c r="D84" s="740">
        <v>0</v>
      </c>
      <c r="E84" s="740">
        <v>16554.85</v>
      </c>
      <c r="F84" s="314">
        <f t="shared" si="4"/>
        <v>0.0011401575653078304</v>
      </c>
      <c r="G84" s="314">
        <f t="shared" si="5"/>
        <v>461045.15</v>
      </c>
      <c r="H84" s="740">
        <v>0</v>
      </c>
      <c r="I84" s="740">
        <v>16554.85</v>
      </c>
      <c r="J84" s="314">
        <f t="shared" si="6"/>
        <v>0</v>
      </c>
      <c r="K84" s="315">
        <f t="shared" si="7"/>
        <v>461045.15</v>
      </c>
      <c r="L84" s="740">
        <v>0</v>
      </c>
      <c r="M84" s="105"/>
    </row>
    <row r="85" spans="1:13" ht="12.75">
      <c r="A85" s="313" t="s">
        <v>563</v>
      </c>
      <c r="B85" s="740"/>
      <c r="C85" s="740"/>
      <c r="D85" s="740"/>
      <c r="E85" s="740"/>
      <c r="F85" s="314">
        <f t="shared" si="4"/>
        <v>0</v>
      </c>
      <c r="G85" s="314">
        <f t="shared" si="5"/>
        <v>0</v>
      </c>
      <c r="H85" s="740"/>
      <c r="I85" s="740"/>
      <c r="J85" s="314">
        <f t="shared" si="6"/>
        <v>0</v>
      </c>
      <c r="K85" s="315">
        <f t="shared" si="7"/>
        <v>0</v>
      </c>
      <c r="L85" s="740"/>
      <c r="M85" s="105"/>
    </row>
    <row r="86" spans="1:13" ht="12.75">
      <c r="A86" s="313" t="s">
        <v>564</v>
      </c>
      <c r="B86" s="740"/>
      <c r="C86" s="740"/>
      <c r="D86" s="740"/>
      <c r="E86" s="740"/>
      <c r="F86" s="314">
        <f t="shared" si="4"/>
        <v>0</v>
      </c>
      <c r="G86" s="314">
        <f t="shared" si="5"/>
        <v>0</v>
      </c>
      <c r="H86" s="740"/>
      <c r="I86" s="740"/>
      <c r="J86" s="314">
        <f t="shared" si="6"/>
        <v>0</v>
      </c>
      <c r="K86" s="315">
        <f t="shared" si="7"/>
        <v>0</v>
      </c>
      <c r="L86" s="740"/>
      <c r="M86" s="105"/>
    </row>
    <row r="87" spans="1:13" ht="12.75">
      <c r="A87" s="313" t="s">
        <v>522</v>
      </c>
      <c r="B87" s="740"/>
      <c r="C87" s="740"/>
      <c r="D87" s="740"/>
      <c r="E87" s="740"/>
      <c r="F87" s="314">
        <f t="shared" si="4"/>
        <v>0</v>
      </c>
      <c r="G87" s="314">
        <f t="shared" si="5"/>
        <v>0</v>
      </c>
      <c r="H87" s="740"/>
      <c r="I87" s="740"/>
      <c r="J87" s="314">
        <f t="shared" si="6"/>
        <v>0</v>
      </c>
      <c r="K87" s="315">
        <f t="shared" si="7"/>
        <v>0</v>
      </c>
      <c r="L87" s="740"/>
      <c r="M87" s="105"/>
    </row>
    <row r="88" spans="1:13" ht="12.75">
      <c r="A88" s="312" t="s">
        <v>357</v>
      </c>
      <c r="B88" s="241">
        <f>SUM(B89:B91)</f>
        <v>426400</v>
      </c>
      <c r="C88" s="241">
        <f>SUM(C89:C91)</f>
        <v>426400</v>
      </c>
      <c r="D88" s="241">
        <f>SUM(D89:D91)</f>
        <v>0</v>
      </c>
      <c r="E88" s="241">
        <f>SUM(E89:E91)</f>
        <v>0</v>
      </c>
      <c r="F88" s="241">
        <f t="shared" si="4"/>
        <v>0</v>
      </c>
      <c r="G88" s="241">
        <f t="shared" si="5"/>
        <v>426400</v>
      </c>
      <c r="H88" s="241">
        <f>SUM(H89:H91)</f>
        <v>0</v>
      </c>
      <c r="I88" s="241">
        <f>SUM(I89:I91)</f>
        <v>0</v>
      </c>
      <c r="J88" s="241">
        <f t="shared" si="6"/>
        <v>0</v>
      </c>
      <c r="K88" s="241">
        <f t="shared" si="7"/>
        <v>426400</v>
      </c>
      <c r="L88" s="241">
        <f>SUM(L89:L91)</f>
        <v>0</v>
      </c>
      <c r="M88" s="105"/>
    </row>
    <row r="89" spans="1:13" ht="12.75">
      <c r="A89" s="313" t="s">
        <v>565</v>
      </c>
      <c r="B89" s="740">
        <v>114400</v>
      </c>
      <c r="C89" s="740">
        <v>114400</v>
      </c>
      <c r="D89" s="740">
        <v>0</v>
      </c>
      <c r="E89" s="740">
        <v>0</v>
      </c>
      <c r="F89" s="314">
        <f t="shared" si="4"/>
        <v>0</v>
      </c>
      <c r="G89" s="314">
        <f t="shared" si="5"/>
        <v>114400</v>
      </c>
      <c r="H89" s="740">
        <v>0</v>
      </c>
      <c r="I89" s="740">
        <v>0</v>
      </c>
      <c r="J89" s="314">
        <f t="shared" si="6"/>
        <v>0</v>
      </c>
      <c r="K89" s="315">
        <f t="shared" si="7"/>
        <v>114400</v>
      </c>
      <c r="L89" s="740">
        <v>0</v>
      </c>
      <c r="M89" s="105"/>
    </row>
    <row r="90" spans="1:13" ht="12.75">
      <c r="A90" s="313" t="s">
        <v>566</v>
      </c>
      <c r="B90" s="740">
        <v>312000</v>
      </c>
      <c r="C90" s="740">
        <v>312000</v>
      </c>
      <c r="D90" s="740">
        <v>0</v>
      </c>
      <c r="E90" s="740">
        <v>0</v>
      </c>
      <c r="F90" s="314">
        <f t="shared" si="4"/>
        <v>0</v>
      </c>
      <c r="G90" s="314">
        <f t="shared" si="5"/>
        <v>312000</v>
      </c>
      <c r="H90" s="740">
        <v>0</v>
      </c>
      <c r="I90" s="740">
        <v>0</v>
      </c>
      <c r="J90" s="314">
        <f t="shared" si="6"/>
        <v>0</v>
      </c>
      <c r="K90" s="315">
        <f t="shared" si="7"/>
        <v>312000</v>
      </c>
      <c r="L90" s="740">
        <v>0</v>
      </c>
      <c r="M90" s="105"/>
    </row>
    <row r="91" spans="1:13" ht="12.75">
      <c r="A91" s="313" t="s">
        <v>522</v>
      </c>
      <c r="B91" s="740"/>
      <c r="C91" s="740"/>
      <c r="D91" s="740"/>
      <c r="E91" s="740"/>
      <c r="F91" s="314">
        <f t="shared" si="4"/>
        <v>0</v>
      </c>
      <c r="G91" s="314">
        <f t="shared" si="5"/>
        <v>0</v>
      </c>
      <c r="H91" s="740"/>
      <c r="I91" s="740"/>
      <c r="J91" s="314">
        <f t="shared" si="6"/>
        <v>0</v>
      </c>
      <c r="K91" s="315">
        <f t="shared" si="7"/>
        <v>0</v>
      </c>
      <c r="L91" s="740"/>
      <c r="M91" s="105"/>
    </row>
    <row r="92" spans="1:13" ht="12.75">
      <c r="A92" s="312" t="s">
        <v>358</v>
      </c>
      <c r="B92" s="316">
        <f>SUM(B93:B96)</f>
        <v>0</v>
      </c>
      <c r="C92" s="316">
        <f>SUM(C93:C96)</f>
        <v>0</v>
      </c>
      <c r="D92" s="316">
        <f>SUM(D93:D96)</f>
        <v>0</v>
      </c>
      <c r="E92" s="316">
        <f>SUM(E93:E96)</f>
        <v>0</v>
      </c>
      <c r="F92" s="316">
        <f t="shared" si="4"/>
        <v>0</v>
      </c>
      <c r="G92" s="316">
        <f t="shared" si="5"/>
        <v>0</v>
      </c>
      <c r="H92" s="316">
        <f>SUM(H93:H96)</f>
        <v>0</v>
      </c>
      <c r="I92" s="316">
        <f>SUM(I93:I96)</f>
        <v>0</v>
      </c>
      <c r="J92" s="316">
        <f t="shared" si="6"/>
        <v>0</v>
      </c>
      <c r="K92" s="316">
        <f t="shared" si="7"/>
        <v>0</v>
      </c>
      <c r="L92" s="316">
        <f>SUM(L93:L96)</f>
        <v>0</v>
      </c>
      <c r="M92" s="105"/>
    </row>
    <row r="93" spans="1:13" ht="12.75">
      <c r="A93" s="313" t="s">
        <v>567</v>
      </c>
      <c r="B93" s="740"/>
      <c r="C93" s="740"/>
      <c r="D93" s="740"/>
      <c r="E93" s="740"/>
      <c r="F93" s="314">
        <f t="shared" si="4"/>
        <v>0</v>
      </c>
      <c r="G93" s="314">
        <f t="shared" si="5"/>
        <v>0</v>
      </c>
      <c r="H93" s="740"/>
      <c r="I93" s="740"/>
      <c r="J93" s="314">
        <f t="shared" si="6"/>
        <v>0</v>
      </c>
      <c r="K93" s="315">
        <f t="shared" si="7"/>
        <v>0</v>
      </c>
      <c r="L93" s="740"/>
      <c r="M93" s="105"/>
    </row>
    <row r="94" spans="1:13" ht="12.75">
      <c r="A94" s="313" t="s">
        <v>568</v>
      </c>
      <c r="B94" s="740"/>
      <c r="C94" s="740"/>
      <c r="D94" s="740"/>
      <c r="E94" s="740"/>
      <c r="F94" s="314">
        <f t="shared" si="4"/>
        <v>0</v>
      </c>
      <c r="G94" s="314">
        <f t="shared" si="5"/>
        <v>0</v>
      </c>
      <c r="H94" s="740"/>
      <c r="I94" s="740"/>
      <c r="J94" s="314">
        <f t="shared" si="6"/>
        <v>0</v>
      </c>
      <c r="K94" s="315">
        <f t="shared" si="7"/>
        <v>0</v>
      </c>
      <c r="L94" s="740"/>
      <c r="M94" s="105"/>
    </row>
    <row r="95" spans="1:13" ht="12.75">
      <c r="A95" s="313" t="s">
        <v>569</v>
      </c>
      <c r="B95" s="740"/>
      <c r="C95" s="740"/>
      <c r="D95" s="740"/>
      <c r="E95" s="740"/>
      <c r="F95" s="314">
        <f t="shared" si="4"/>
        <v>0</v>
      </c>
      <c r="G95" s="314">
        <f t="shared" si="5"/>
        <v>0</v>
      </c>
      <c r="H95" s="740"/>
      <c r="I95" s="740"/>
      <c r="J95" s="314">
        <f t="shared" si="6"/>
        <v>0</v>
      </c>
      <c r="K95" s="315">
        <f t="shared" si="7"/>
        <v>0</v>
      </c>
      <c r="L95" s="740"/>
      <c r="M95" s="105"/>
    </row>
    <row r="96" spans="1:13" ht="12.75">
      <c r="A96" s="313" t="s">
        <v>522</v>
      </c>
      <c r="B96" s="740"/>
      <c r="C96" s="740"/>
      <c r="D96" s="740"/>
      <c r="E96" s="740"/>
      <c r="F96" s="314">
        <f t="shared" si="4"/>
        <v>0</v>
      </c>
      <c r="G96" s="314">
        <f t="shared" si="5"/>
        <v>0</v>
      </c>
      <c r="H96" s="740"/>
      <c r="I96" s="740"/>
      <c r="J96" s="314">
        <f t="shared" si="6"/>
        <v>0</v>
      </c>
      <c r="K96" s="315">
        <f t="shared" si="7"/>
        <v>0</v>
      </c>
      <c r="L96" s="740"/>
      <c r="M96" s="105"/>
    </row>
    <row r="97" spans="1:13" ht="12.75">
      <c r="A97" s="312" t="s">
        <v>359</v>
      </c>
      <c r="B97" s="316">
        <f>SUM(B98:B101)</f>
        <v>2715440</v>
      </c>
      <c r="C97" s="316">
        <f>SUM(C98:C101)</f>
        <v>2715440</v>
      </c>
      <c r="D97" s="316">
        <f>SUM(D98:D101)</f>
        <v>0</v>
      </c>
      <c r="E97" s="316">
        <f>SUM(E98:E101)</f>
        <v>0</v>
      </c>
      <c r="F97" s="316">
        <f t="shared" si="4"/>
        <v>0</v>
      </c>
      <c r="G97" s="316">
        <f t="shared" si="5"/>
        <v>2715440</v>
      </c>
      <c r="H97" s="316">
        <f>SUM(H98:H101)</f>
        <v>0</v>
      </c>
      <c r="I97" s="316">
        <f>SUM(I98:I101)</f>
        <v>0</v>
      </c>
      <c r="J97" s="316">
        <f t="shared" si="6"/>
        <v>0</v>
      </c>
      <c r="K97" s="316">
        <f t="shared" si="7"/>
        <v>2715440</v>
      </c>
      <c r="L97" s="316">
        <f>SUM(L98:L101)</f>
        <v>0</v>
      </c>
      <c r="M97" s="105"/>
    </row>
    <row r="98" spans="1:13" ht="12.75">
      <c r="A98" s="313" t="s">
        <v>570</v>
      </c>
      <c r="B98" s="740">
        <v>1902160</v>
      </c>
      <c r="C98" s="740">
        <v>1902160</v>
      </c>
      <c r="D98" s="740">
        <v>0</v>
      </c>
      <c r="E98" s="740">
        <v>0</v>
      </c>
      <c r="F98" s="314">
        <f t="shared" si="4"/>
        <v>0</v>
      </c>
      <c r="G98" s="314">
        <f t="shared" si="5"/>
        <v>1902160</v>
      </c>
      <c r="H98" s="740">
        <v>0</v>
      </c>
      <c r="I98" s="740">
        <v>0</v>
      </c>
      <c r="J98" s="314">
        <f t="shared" si="6"/>
        <v>0</v>
      </c>
      <c r="K98" s="315">
        <f t="shared" si="7"/>
        <v>1902160</v>
      </c>
      <c r="L98" s="740">
        <v>0</v>
      </c>
      <c r="M98" s="105"/>
    </row>
    <row r="99" spans="1:13" ht="12.75">
      <c r="A99" s="313" t="s">
        <v>571</v>
      </c>
      <c r="B99" s="740">
        <v>795600</v>
      </c>
      <c r="C99" s="740">
        <v>795600</v>
      </c>
      <c r="D99" s="740">
        <v>0</v>
      </c>
      <c r="E99" s="740">
        <v>0</v>
      </c>
      <c r="F99" s="314">
        <f t="shared" si="4"/>
        <v>0</v>
      </c>
      <c r="G99" s="314">
        <f t="shared" si="5"/>
        <v>795600</v>
      </c>
      <c r="H99" s="740">
        <v>0</v>
      </c>
      <c r="I99" s="740">
        <v>0</v>
      </c>
      <c r="J99" s="314">
        <f t="shared" si="6"/>
        <v>0</v>
      </c>
      <c r="K99" s="315">
        <f t="shared" si="7"/>
        <v>795600</v>
      </c>
      <c r="L99" s="740">
        <v>0</v>
      </c>
      <c r="M99" s="105"/>
    </row>
    <row r="100" spans="1:13" ht="12.75">
      <c r="A100" s="313" t="s">
        <v>572</v>
      </c>
      <c r="B100" s="740">
        <v>17680</v>
      </c>
      <c r="C100" s="740">
        <v>17680</v>
      </c>
      <c r="D100" s="740">
        <v>0</v>
      </c>
      <c r="E100" s="740">
        <v>0</v>
      </c>
      <c r="F100" s="314">
        <f t="shared" si="4"/>
        <v>0</v>
      </c>
      <c r="G100" s="314">
        <f t="shared" si="5"/>
        <v>17680</v>
      </c>
      <c r="H100" s="740">
        <v>0</v>
      </c>
      <c r="I100" s="740">
        <v>0</v>
      </c>
      <c r="J100" s="314">
        <f t="shared" si="6"/>
        <v>0</v>
      </c>
      <c r="K100" s="315">
        <f t="shared" si="7"/>
        <v>17680</v>
      </c>
      <c r="L100" s="740">
        <v>0</v>
      </c>
      <c r="M100" s="105"/>
    </row>
    <row r="101" spans="1:13" ht="12.75">
      <c r="A101" s="313" t="s">
        <v>522</v>
      </c>
      <c r="B101" s="740"/>
      <c r="C101" s="740"/>
      <c r="D101" s="740"/>
      <c r="E101" s="740"/>
      <c r="F101" s="314">
        <f t="shared" si="4"/>
        <v>0</v>
      </c>
      <c r="G101" s="314">
        <f t="shared" si="5"/>
        <v>0</v>
      </c>
      <c r="H101" s="740"/>
      <c r="I101" s="740"/>
      <c r="J101" s="314">
        <f t="shared" si="6"/>
        <v>0</v>
      </c>
      <c r="K101" s="315">
        <f t="shared" si="7"/>
        <v>0</v>
      </c>
      <c r="L101" s="740"/>
      <c r="M101" s="105"/>
    </row>
    <row r="102" spans="1:13" ht="12.75">
      <c r="A102" s="312" t="s">
        <v>360</v>
      </c>
      <c r="B102" s="241">
        <f>SUM(B103:B105)</f>
        <v>0</v>
      </c>
      <c r="C102" s="241">
        <f>SUM(C103:C105)</f>
        <v>0</v>
      </c>
      <c r="D102" s="241">
        <f>SUM(D103:D105)</f>
        <v>0</v>
      </c>
      <c r="E102" s="241">
        <f>SUM(E103:E105)</f>
        <v>0</v>
      </c>
      <c r="F102" s="241">
        <f t="shared" si="4"/>
        <v>0</v>
      </c>
      <c r="G102" s="241">
        <f t="shared" si="5"/>
        <v>0</v>
      </c>
      <c r="H102" s="241">
        <f>SUM(H103:H105)</f>
        <v>0</v>
      </c>
      <c r="I102" s="241">
        <f>SUM(I103:I105)</f>
        <v>0</v>
      </c>
      <c r="J102" s="241">
        <f t="shared" si="6"/>
        <v>0</v>
      </c>
      <c r="K102" s="241">
        <f t="shared" si="7"/>
        <v>0</v>
      </c>
      <c r="L102" s="241">
        <f>SUM(L103:L105)</f>
        <v>0</v>
      </c>
      <c r="M102" s="105"/>
    </row>
    <row r="103" spans="1:13" ht="12.75">
      <c r="A103" s="313" t="s">
        <v>573</v>
      </c>
      <c r="B103" s="740"/>
      <c r="C103" s="740"/>
      <c r="D103" s="740"/>
      <c r="E103" s="740"/>
      <c r="F103" s="314">
        <f t="shared" si="4"/>
        <v>0</v>
      </c>
      <c r="G103" s="314">
        <f t="shared" si="5"/>
        <v>0</v>
      </c>
      <c r="H103" s="740"/>
      <c r="I103" s="740"/>
      <c r="J103" s="314">
        <f t="shared" si="6"/>
        <v>0</v>
      </c>
      <c r="K103" s="315">
        <f t="shared" si="7"/>
        <v>0</v>
      </c>
      <c r="L103" s="740"/>
      <c r="M103" s="105"/>
    </row>
    <row r="104" spans="1:13" ht="12.75">
      <c r="A104" s="313" t="s">
        <v>574</v>
      </c>
      <c r="B104" s="740"/>
      <c r="C104" s="740"/>
      <c r="D104" s="740"/>
      <c r="E104" s="740"/>
      <c r="F104" s="314">
        <f t="shared" si="4"/>
        <v>0</v>
      </c>
      <c r="G104" s="314">
        <f t="shared" si="5"/>
        <v>0</v>
      </c>
      <c r="H104" s="740"/>
      <c r="I104" s="740"/>
      <c r="J104" s="314">
        <f t="shared" si="6"/>
        <v>0</v>
      </c>
      <c r="K104" s="315">
        <f t="shared" si="7"/>
        <v>0</v>
      </c>
      <c r="L104" s="740"/>
      <c r="M104" s="105"/>
    </row>
    <row r="105" spans="1:13" ht="12.75">
      <c r="A105" s="313" t="s">
        <v>522</v>
      </c>
      <c r="B105" s="740"/>
      <c r="C105" s="740"/>
      <c r="D105" s="740"/>
      <c r="E105" s="740"/>
      <c r="F105" s="314">
        <f t="shared" si="4"/>
        <v>0</v>
      </c>
      <c r="G105" s="314">
        <f t="shared" si="5"/>
        <v>0</v>
      </c>
      <c r="H105" s="740"/>
      <c r="I105" s="740"/>
      <c r="J105" s="314">
        <f t="shared" si="6"/>
        <v>0</v>
      </c>
      <c r="K105" s="315">
        <f t="shared" si="7"/>
        <v>0</v>
      </c>
      <c r="L105" s="740"/>
      <c r="M105" s="105"/>
    </row>
    <row r="106" spans="1:13" ht="12.75">
      <c r="A106" s="312" t="s">
        <v>361</v>
      </c>
      <c r="B106" s="241">
        <f>SUM(B107:B109)</f>
        <v>667680</v>
      </c>
      <c r="C106" s="241">
        <f>SUM(C107:C109)</f>
        <v>667680</v>
      </c>
      <c r="D106" s="241">
        <f>SUM(D107:D109)</f>
        <v>0</v>
      </c>
      <c r="E106" s="241">
        <f>SUM(E107:E109)</f>
        <v>142176.2</v>
      </c>
      <c r="F106" s="241">
        <f t="shared" si="4"/>
        <v>0.009791889992160557</v>
      </c>
      <c r="G106" s="241">
        <f t="shared" si="5"/>
        <v>525503.8</v>
      </c>
      <c r="H106" s="241">
        <f>SUM(H107:H109)</f>
        <v>0</v>
      </c>
      <c r="I106" s="241">
        <f>SUM(I107:I109)</f>
        <v>142176.2</v>
      </c>
      <c r="J106" s="241">
        <f t="shared" si="6"/>
        <v>0</v>
      </c>
      <c r="K106" s="241">
        <f t="shared" si="7"/>
        <v>525503.8</v>
      </c>
      <c r="L106" s="241">
        <f>SUM(L107:L109)</f>
        <v>0</v>
      </c>
      <c r="M106" s="105"/>
    </row>
    <row r="107" spans="1:13" ht="12.75">
      <c r="A107" s="313" t="s">
        <v>575</v>
      </c>
      <c r="B107" s="740"/>
      <c r="C107" s="740"/>
      <c r="D107" s="740"/>
      <c r="E107" s="740"/>
      <c r="F107" s="314">
        <f t="shared" si="4"/>
        <v>0</v>
      </c>
      <c r="G107" s="314">
        <f t="shared" si="5"/>
        <v>0</v>
      </c>
      <c r="H107" s="740"/>
      <c r="I107" s="740"/>
      <c r="J107" s="314">
        <f t="shared" si="6"/>
        <v>0</v>
      </c>
      <c r="K107" s="315">
        <f t="shared" si="7"/>
        <v>0</v>
      </c>
      <c r="L107" s="740"/>
      <c r="M107" s="105"/>
    </row>
    <row r="108" spans="1:13" ht="12.75">
      <c r="A108" s="313" t="s">
        <v>576</v>
      </c>
      <c r="B108" s="740">
        <v>667680</v>
      </c>
      <c r="C108" s="740">
        <v>667680</v>
      </c>
      <c r="D108" s="740">
        <v>0</v>
      </c>
      <c r="E108" s="740">
        <v>142176.2</v>
      </c>
      <c r="F108" s="314">
        <f t="shared" si="4"/>
        <v>0.009791889992160557</v>
      </c>
      <c r="G108" s="314">
        <f t="shared" si="5"/>
        <v>525503.8</v>
      </c>
      <c r="H108" s="740">
        <v>0</v>
      </c>
      <c r="I108" s="740">
        <v>142176.2</v>
      </c>
      <c r="J108" s="314">
        <f t="shared" si="6"/>
        <v>0</v>
      </c>
      <c r="K108" s="315">
        <f t="shared" si="7"/>
        <v>525503.8</v>
      </c>
      <c r="L108" s="740">
        <v>0</v>
      </c>
      <c r="M108" s="105"/>
    </row>
    <row r="109" spans="1:13" ht="12.75">
      <c r="A109" s="313" t="s">
        <v>522</v>
      </c>
      <c r="B109" s="740"/>
      <c r="C109" s="740"/>
      <c r="D109" s="740"/>
      <c r="E109" s="740"/>
      <c r="F109" s="314">
        <f t="shared" si="4"/>
        <v>0</v>
      </c>
      <c r="G109" s="314">
        <f t="shared" si="5"/>
        <v>0</v>
      </c>
      <c r="H109" s="740"/>
      <c r="I109" s="740"/>
      <c r="J109" s="314">
        <f t="shared" si="6"/>
        <v>0</v>
      </c>
      <c r="K109" s="315">
        <f t="shared" si="7"/>
        <v>0</v>
      </c>
      <c r="L109" s="740"/>
      <c r="M109" s="105"/>
    </row>
    <row r="110" spans="1:13" ht="12.75">
      <c r="A110" s="312" t="s">
        <v>362</v>
      </c>
      <c r="B110" s="316">
        <f>SUM(B111:B116)</f>
        <v>221600</v>
      </c>
      <c r="C110" s="316">
        <f>SUM(C111:C116)</f>
        <v>221600</v>
      </c>
      <c r="D110" s="316">
        <f>SUM(D111:D116)</f>
        <v>0</v>
      </c>
      <c r="E110" s="316">
        <f>SUM(E111:E116)</f>
        <v>0</v>
      </c>
      <c r="F110" s="316">
        <f t="shared" si="4"/>
        <v>0</v>
      </c>
      <c r="G110" s="316">
        <f t="shared" si="5"/>
        <v>221600</v>
      </c>
      <c r="H110" s="316">
        <f>SUM(H111:H116)</f>
        <v>0</v>
      </c>
      <c r="I110" s="316">
        <f>SUM(I111:I116)</f>
        <v>0</v>
      </c>
      <c r="J110" s="316">
        <f t="shared" si="6"/>
        <v>0</v>
      </c>
      <c r="K110" s="316">
        <f t="shared" si="7"/>
        <v>221600</v>
      </c>
      <c r="L110" s="316">
        <f>SUM(L111:L116)</f>
        <v>0</v>
      </c>
      <c r="M110" s="105"/>
    </row>
    <row r="111" spans="1:13" ht="12.75">
      <c r="A111" s="313" t="s">
        <v>577</v>
      </c>
      <c r="B111" s="740">
        <v>221600</v>
      </c>
      <c r="C111" s="740">
        <v>221600</v>
      </c>
      <c r="D111" s="740">
        <v>0</v>
      </c>
      <c r="E111" s="740">
        <v>0</v>
      </c>
      <c r="F111" s="314">
        <f t="shared" si="4"/>
        <v>0</v>
      </c>
      <c r="G111" s="314">
        <f t="shared" si="5"/>
        <v>221600</v>
      </c>
      <c r="H111" s="740">
        <v>0</v>
      </c>
      <c r="I111" s="740">
        <v>0</v>
      </c>
      <c r="J111" s="314">
        <f t="shared" si="6"/>
        <v>0</v>
      </c>
      <c r="K111" s="315">
        <f t="shared" si="7"/>
        <v>221600</v>
      </c>
      <c r="L111" s="740">
        <v>0</v>
      </c>
      <c r="M111" s="105"/>
    </row>
    <row r="112" spans="1:13" ht="12.75">
      <c r="A112" s="313" t="s">
        <v>578</v>
      </c>
      <c r="B112" s="740"/>
      <c r="C112" s="740"/>
      <c r="D112" s="740"/>
      <c r="E112" s="740"/>
      <c r="F112" s="314">
        <f t="shared" si="4"/>
        <v>0</v>
      </c>
      <c r="G112" s="314">
        <f t="shared" si="5"/>
        <v>0</v>
      </c>
      <c r="H112" s="740"/>
      <c r="I112" s="740"/>
      <c r="J112" s="314">
        <f t="shared" si="6"/>
        <v>0</v>
      </c>
      <c r="K112" s="315">
        <f t="shared" si="7"/>
        <v>0</v>
      </c>
      <c r="L112" s="740"/>
      <c r="M112" s="105"/>
    </row>
    <row r="113" spans="1:13" ht="12.75">
      <c r="A113" s="313" t="s">
        <v>579</v>
      </c>
      <c r="B113" s="740"/>
      <c r="C113" s="740"/>
      <c r="D113" s="740"/>
      <c r="E113" s="740"/>
      <c r="F113" s="314">
        <f t="shared" si="4"/>
        <v>0</v>
      </c>
      <c r="G113" s="314">
        <f t="shared" si="5"/>
        <v>0</v>
      </c>
      <c r="H113" s="740"/>
      <c r="I113" s="740"/>
      <c r="J113" s="314">
        <f t="shared" si="6"/>
        <v>0</v>
      </c>
      <c r="K113" s="315">
        <f t="shared" si="7"/>
        <v>0</v>
      </c>
      <c r="L113" s="740"/>
      <c r="M113" s="105"/>
    </row>
    <row r="114" spans="1:13" ht="12.75">
      <c r="A114" s="313" t="s">
        <v>580</v>
      </c>
      <c r="B114" s="740"/>
      <c r="C114" s="740"/>
      <c r="D114" s="740"/>
      <c r="E114" s="740"/>
      <c r="F114" s="314">
        <f t="shared" si="4"/>
        <v>0</v>
      </c>
      <c r="G114" s="314">
        <f t="shared" si="5"/>
        <v>0</v>
      </c>
      <c r="H114" s="740"/>
      <c r="I114" s="740"/>
      <c r="J114" s="314">
        <f t="shared" si="6"/>
        <v>0</v>
      </c>
      <c r="K114" s="315">
        <f t="shared" si="7"/>
        <v>0</v>
      </c>
      <c r="L114" s="740"/>
      <c r="M114" s="105"/>
    </row>
    <row r="115" spans="1:13" ht="12.75">
      <c r="A115" s="313" t="s">
        <v>581</v>
      </c>
      <c r="B115" s="740"/>
      <c r="C115" s="740"/>
      <c r="D115" s="740"/>
      <c r="E115" s="740"/>
      <c r="F115" s="314">
        <f t="shared" si="4"/>
        <v>0</v>
      </c>
      <c r="G115" s="314">
        <f t="shared" si="5"/>
        <v>0</v>
      </c>
      <c r="H115" s="740"/>
      <c r="I115" s="740"/>
      <c r="J115" s="314">
        <f t="shared" si="6"/>
        <v>0</v>
      </c>
      <c r="K115" s="315">
        <f t="shared" si="7"/>
        <v>0</v>
      </c>
      <c r="L115" s="740"/>
      <c r="M115" s="105"/>
    </row>
    <row r="116" spans="1:13" ht="12.75">
      <c r="A116" s="313" t="s">
        <v>522</v>
      </c>
      <c r="B116" s="740"/>
      <c r="C116" s="740"/>
      <c r="D116" s="740"/>
      <c r="E116" s="740"/>
      <c r="F116" s="314">
        <f t="shared" si="4"/>
        <v>0</v>
      </c>
      <c r="G116" s="314">
        <f t="shared" si="5"/>
        <v>0</v>
      </c>
      <c r="H116" s="740"/>
      <c r="I116" s="740"/>
      <c r="J116" s="314">
        <f t="shared" si="6"/>
        <v>0</v>
      </c>
      <c r="K116" s="315">
        <f t="shared" si="7"/>
        <v>0</v>
      </c>
      <c r="L116" s="740"/>
      <c r="M116" s="105"/>
    </row>
    <row r="117" spans="1:13" ht="12.75">
      <c r="A117" s="312" t="s">
        <v>363</v>
      </c>
      <c r="B117" s="316">
        <f>SUM(B118:B121)</f>
        <v>0</v>
      </c>
      <c r="C117" s="316">
        <f>SUM(C118:C121)</f>
        <v>0</v>
      </c>
      <c r="D117" s="316">
        <f>SUM(D118:D121)</f>
        <v>0</v>
      </c>
      <c r="E117" s="316">
        <f>SUM(E118:E121)</f>
        <v>0</v>
      </c>
      <c r="F117" s="316">
        <f t="shared" si="4"/>
        <v>0</v>
      </c>
      <c r="G117" s="316">
        <f t="shared" si="5"/>
        <v>0</v>
      </c>
      <c r="H117" s="316">
        <f>SUM(H118:H121)</f>
        <v>0</v>
      </c>
      <c r="I117" s="316">
        <f>SUM(I118:I121)</f>
        <v>0</v>
      </c>
      <c r="J117" s="316">
        <f t="shared" si="6"/>
        <v>0</v>
      </c>
      <c r="K117" s="316">
        <f t="shared" si="7"/>
        <v>0</v>
      </c>
      <c r="L117" s="316">
        <f>SUM(L118:L121)</f>
        <v>0</v>
      </c>
      <c r="M117" s="105"/>
    </row>
    <row r="118" spans="1:13" ht="12.75">
      <c r="A118" s="313" t="s">
        <v>582</v>
      </c>
      <c r="B118" s="740"/>
      <c r="C118" s="740"/>
      <c r="D118" s="740"/>
      <c r="E118" s="740"/>
      <c r="F118" s="314">
        <f t="shared" si="4"/>
        <v>0</v>
      </c>
      <c r="G118" s="314">
        <f t="shared" si="5"/>
        <v>0</v>
      </c>
      <c r="H118" s="740"/>
      <c r="I118" s="740"/>
      <c r="J118" s="314">
        <f t="shared" si="6"/>
        <v>0</v>
      </c>
      <c r="K118" s="315">
        <f t="shared" si="7"/>
        <v>0</v>
      </c>
      <c r="L118" s="740"/>
      <c r="M118" s="105"/>
    </row>
    <row r="119" spans="1:13" ht="12.75">
      <c r="A119" s="313" t="s">
        <v>583</v>
      </c>
      <c r="B119" s="740"/>
      <c r="C119" s="740"/>
      <c r="D119" s="740"/>
      <c r="E119" s="740"/>
      <c r="F119" s="314">
        <f t="shared" si="4"/>
        <v>0</v>
      </c>
      <c r="G119" s="314">
        <f t="shared" si="5"/>
        <v>0</v>
      </c>
      <c r="H119" s="740"/>
      <c r="I119" s="740"/>
      <c r="J119" s="314">
        <f t="shared" si="6"/>
        <v>0</v>
      </c>
      <c r="K119" s="315">
        <f t="shared" si="7"/>
        <v>0</v>
      </c>
      <c r="L119" s="740"/>
      <c r="M119" s="105"/>
    </row>
    <row r="120" spans="1:13" ht="12.75">
      <c r="A120" s="313" t="s">
        <v>584</v>
      </c>
      <c r="B120" s="740"/>
      <c r="C120" s="740"/>
      <c r="D120" s="740"/>
      <c r="E120" s="740"/>
      <c r="F120" s="314">
        <f t="shared" si="4"/>
        <v>0</v>
      </c>
      <c r="G120" s="314">
        <f t="shared" si="5"/>
        <v>0</v>
      </c>
      <c r="H120" s="740"/>
      <c r="I120" s="740"/>
      <c r="J120" s="314">
        <f t="shared" si="6"/>
        <v>0</v>
      </c>
      <c r="K120" s="315">
        <f t="shared" si="7"/>
        <v>0</v>
      </c>
      <c r="L120" s="740"/>
      <c r="M120" s="105"/>
    </row>
    <row r="121" spans="1:13" ht="12.75">
      <c r="A121" s="313" t="s">
        <v>522</v>
      </c>
      <c r="B121" s="740"/>
      <c r="C121" s="740"/>
      <c r="D121" s="740"/>
      <c r="E121" s="740"/>
      <c r="F121" s="314">
        <f t="shared" si="4"/>
        <v>0</v>
      </c>
      <c r="G121" s="314">
        <f t="shared" si="5"/>
        <v>0</v>
      </c>
      <c r="H121" s="740"/>
      <c r="I121" s="740"/>
      <c r="J121" s="314">
        <f t="shared" si="6"/>
        <v>0</v>
      </c>
      <c r="K121" s="315">
        <f t="shared" si="7"/>
        <v>0</v>
      </c>
      <c r="L121" s="740"/>
      <c r="M121" s="105"/>
    </row>
    <row r="122" spans="1:13" ht="12.75">
      <c r="A122" s="312" t="s">
        <v>364</v>
      </c>
      <c r="B122" s="316">
        <f>SUM(B123:B130)</f>
        <v>249040</v>
      </c>
      <c r="C122" s="316">
        <f>SUM(C123:C130)</f>
        <v>249040</v>
      </c>
      <c r="D122" s="316">
        <f>SUM(D123:D130)</f>
        <v>0</v>
      </c>
      <c r="E122" s="316">
        <f>SUM(E123:E130)</f>
        <v>0</v>
      </c>
      <c r="F122" s="316">
        <f t="shared" si="4"/>
        <v>0</v>
      </c>
      <c r="G122" s="316">
        <f t="shared" si="5"/>
        <v>249040</v>
      </c>
      <c r="H122" s="316">
        <f>SUM(H123:H130)</f>
        <v>0</v>
      </c>
      <c r="I122" s="316">
        <f>SUM(I123:I130)</f>
        <v>0</v>
      </c>
      <c r="J122" s="316">
        <f t="shared" si="6"/>
        <v>0</v>
      </c>
      <c r="K122" s="316">
        <f t="shared" si="7"/>
        <v>249040</v>
      </c>
      <c r="L122" s="316">
        <f>SUM(L123:L130)</f>
        <v>0</v>
      </c>
      <c r="M122" s="105"/>
    </row>
    <row r="123" spans="1:13" ht="12.75">
      <c r="A123" s="313" t="s">
        <v>585</v>
      </c>
      <c r="B123" s="740"/>
      <c r="C123" s="740"/>
      <c r="D123" s="740"/>
      <c r="E123" s="740"/>
      <c r="F123" s="314">
        <f t="shared" si="4"/>
        <v>0</v>
      </c>
      <c r="G123" s="314">
        <f t="shared" si="5"/>
        <v>0</v>
      </c>
      <c r="H123" s="740"/>
      <c r="I123" s="740"/>
      <c r="J123" s="314">
        <f t="shared" si="6"/>
        <v>0</v>
      </c>
      <c r="K123" s="315">
        <f t="shared" si="7"/>
        <v>0</v>
      </c>
      <c r="L123" s="740"/>
      <c r="M123" s="105"/>
    </row>
    <row r="124" spans="1:13" ht="12.75">
      <c r="A124" s="313" t="s">
        <v>586</v>
      </c>
      <c r="B124" s="740"/>
      <c r="C124" s="740"/>
      <c r="D124" s="740"/>
      <c r="E124" s="740"/>
      <c r="F124" s="314">
        <f t="shared" si="4"/>
        <v>0</v>
      </c>
      <c r="G124" s="314">
        <f t="shared" si="5"/>
        <v>0</v>
      </c>
      <c r="H124" s="740"/>
      <c r="I124" s="740"/>
      <c r="J124" s="314">
        <f t="shared" si="6"/>
        <v>0</v>
      </c>
      <c r="K124" s="315">
        <f t="shared" si="7"/>
        <v>0</v>
      </c>
      <c r="L124" s="740"/>
      <c r="M124" s="105"/>
    </row>
    <row r="125" spans="1:13" ht="12.75">
      <c r="A125" s="313" t="s">
        <v>587</v>
      </c>
      <c r="B125" s="740"/>
      <c r="C125" s="740"/>
      <c r="D125" s="740"/>
      <c r="E125" s="740"/>
      <c r="F125" s="314">
        <f t="shared" si="4"/>
        <v>0</v>
      </c>
      <c r="G125" s="314">
        <f t="shared" si="5"/>
        <v>0</v>
      </c>
      <c r="H125" s="740"/>
      <c r="I125" s="740"/>
      <c r="J125" s="314">
        <f t="shared" si="6"/>
        <v>0</v>
      </c>
      <c r="K125" s="315">
        <f t="shared" si="7"/>
        <v>0</v>
      </c>
      <c r="L125" s="740"/>
      <c r="M125" s="105"/>
    </row>
    <row r="126" spans="1:13" ht="12.75">
      <c r="A126" s="313" t="s">
        <v>588</v>
      </c>
      <c r="B126" s="740"/>
      <c r="C126" s="740"/>
      <c r="D126" s="740"/>
      <c r="E126" s="740"/>
      <c r="F126" s="314">
        <f t="shared" si="4"/>
        <v>0</v>
      </c>
      <c r="G126" s="314">
        <f t="shared" si="5"/>
        <v>0</v>
      </c>
      <c r="H126" s="740"/>
      <c r="I126" s="740"/>
      <c r="J126" s="314">
        <f t="shared" si="6"/>
        <v>0</v>
      </c>
      <c r="K126" s="315">
        <f t="shared" si="7"/>
        <v>0</v>
      </c>
      <c r="L126" s="740"/>
      <c r="M126" s="105"/>
    </row>
    <row r="127" spans="1:13" ht="12.75">
      <c r="A127" s="313" t="s">
        <v>589</v>
      </c>
      <c r="B127" s="740">
        <v>190800</v>
      </c>
      <c r="C127" s="740">
        <v>190800</v>
      </c>
      <c r="D127" s="740">
        <v>0</v>
      </c>
      <c r="E127" s="740">
        <v>0</v>
      </c>
      <c r="F127" s="314">
        <f t="shared" si="4"/>
        <v>0</v>
      </c>
      <c r="G127" s="314">
        <f t="shared" si="5"/>
        <v>190800</v>
      </c>
      <c r="H127" s="740">
        <v>0</v>
      </c>
      <c r="I127" s="740">
        <v>0</v>
      </c>
      <c r="J127" s="314">
        <f t="shared" si="6"/>
        <v>0</v>
      </c>
      <c r="K127" s="315">
        <f t="shared" si="7"/>
        <v>190800</v>
      </c>
      <c r="L127" s="740">
        <v>0</v>
      </c>
      <c r="M127" s="105"/>
    </row>
    <row r="128" spans="1:13" ht="12.75">
      <c r="A128" s="313" t="s">
        <v>590</v>
      </c>
      <c r="B128" s="740">
        <v>58240</v>
      </c>
      <c r="C128" s="740">
        <v>58240</v>
      </c>
      <c r="D128" s="740">
        <v>0</v>
      </c>
      <c r="E128" s="740">
        <v>0</v>
      </c>
      <c r="F128" s="314">
        <f t="shared" si="4"/>
        <v>0</v>
      </c>
      <c r="G128" s="314">
        <f t="shared" si="5"/>
        <v>58240</v>
      </c>
      <c r="H128" s="740">
        <v>0</v>
      </c>
      <c r="I128" s="740">
        <v>0</v>
      </c>
      <c r="J128" s="314">
        <f t="shared" si="6"/>
        <v>0</v>
      </c>
      <c r="K128" s="315">
        <f t="shared" si="7"/>
        <v>58240</v>
      </c>
      <c r="L128" s="740">
        <v>0</v>
      </c>
      <c r="M128" s="105"/>
    </row>
    <row r="129" spans="1:13" ht="12.75">
      <c r="A129" s="313" t="s">
        <v>591</v>
      </c>
      <c r="B129" s="740"/>
      <c r="C129" s="740"/>
      <c r="D129" s="740"/>
      <c r="E129" s="740"/>
      <c r="F129" s="314">
        <f t="shared" si="4"/>
        <v>0</v>
      </c>
      <c r="G129" s="314">
        <f t="shared" si="5"/>
        <v>0</v>
      </c>
      <c r="H129" s="740"/>
      <c r="I129" s="740"/>
      <c r="J129" s="314">
        <f t="shared" si="6"/>
        <v>0</v>
      </c>
      <c r="K129" s="315">
        <f t="shared" si="7"/>
        <v>0</v>
      </c>
      <c r="L129" s="740"/>
      <c r="M129" s="105"/>
    </row>
    <row r="130" spans="1:13" ht="12.75">
      <c r="A130" s="313" t="s">
        <v>522</v>
      </c>
      <c r="B130" s="740"/>
      <c r="C130" s="740"/>
      <c r="D130" s="740"/>
      <c r="E130" s="740"/>
      <c r="F130" s="314">
        <f t="shared" si="4"/>
        <v>0</v>
      </c>
      <c r="G130" s="314">
        <f t="shared" si="5"/>
        <v>0</v>
      </c>
      <c r="H130" s="740"/>
      <c r="I130" s="740"/>
      <c r="J130" s="314">
        <f t="shared" si="6"/>
        <v>0</v>
      </c>
      <c r="K130" s="315">
        <f t="shared" si="7"/>
        <v>0</v>
      </c>
      <c r="L130" s="740"/>
      <c r="M130" s="105"/>
    </row>
    <row r="131" spans="1:13" ht="12.75">
      <c r="A131" s="312" t="s">
        <v>365</v>
      </c>
      <c r="B131" s="316">
        <f>SUM(B132:B133)</f>
        <v>0</v>
      </c>
      <c r="C131" s="316">
        <f>SUM(C132:C133)</f>
        <v>0</v>
      </c>
      <c r="D131" s="316">
        <f>SUM(D132:D133)</f>
        <v>0</v>
      </c>
      <c r="E131" s="316">
        <f>SUM(E132:E133)</f>
        <v>0</v>
      </c>
      <c r="F131" s="316">
        <f t="shared" si="4"/>
        <v>0</v>
      </c>
      <c r="G131" s="316">
        <f t="shared" si="5"/>
        <v>0</v>
      </c>
      <c r="H131" s="316">
        <f>SUM(H132:H133)</f>
        <v>0</v>
      </c>
      <c r="I131" s="316">
        <f>SUM(I132:I133)</f>
        <v>0</v>
      </c>
      <c r="J131" s="316">
        <f t="shared" si="6"/>
        <v>0</v>
      </c>
      <c r="K131" s="316">
        <f t="shared" si="7"/>
        <v>0</v>
      </c>
      <c r="L131" s="316">
        <f>SUM(L132:L133)</f>
        <v>0</v>
      </c>
      <c r="M131" s="105"/>
    </row>
    <row r="132" spans="1:13" ht="12.75">
      <c r="A132" s="313" t="s">
        <v>592</v>
      </c>
      <c r="B132" s="740"/>
      <c r="C132" s="740"/>
      <c r="D132" s="740"/>
      <c r="E132" s="740"/>
      <c r="F132" s="314">
        <f t="shared" si="4"/>
        <v>0</v>
      </c>
      <c r="G132" s="314">
        <f t="shared" si="5"/>
        <v>0</v>
      </c>
      <c r="H132" s="740"/>
      <c r="I132" s="740"/>
      <c r="J132" s="314">
        <f t="shared" si="6"/>
        <v>0</v>
      </c>
      <c r="K132" s="315">
        <f t="shared" si="7"/>
        <v>0</v>
      </c>
      <c r="L132" s="740"/>
      <c r="M132" s="105"/>
    </row>
    <row r="133" spans="1:13" ht="12.75">
      <c r="A133" s="313" t="s">
        <v>593</v>
      </c>
      <c r="B133" s="740"/>
      <c r="C133" s="740"/>
      <c r="D133" s="740"/>
      <c r="E133" s="740"/>
      <c r="F133" s="314">
        <f t="shared" si="4"/>
        <v>0</v>
      </c>
      <c r="G133" s="314">
        <f t="shared" si="5"/>
        <v>0</v>
      </c>
      <c r="H133" s="740"/>
      <c r="I133" s="740"/>
      <c r="J133" s="314">
        <f t="shared" si="6"/>
        <v>0</v>
      </c>
      <c r="K133" s="315">
        <f t="shared" si="7"/>
        <v>0</v>
      </c>
      <c r="L133" s="740"/>
      <c r="M133" s="105"/>
    </row>
    <row r="134" spans="1:13" ht="12.75">
      <c r="A134" s="312" t="s">
        <v>366</v>
      </c>
      <c r="B134" s="316">
        <f>SUM(B135:B140)</f>
        <v>0</v>
      </c>
      <c r="C134" s="316">
        <f>SUM(C135:C140)</f>
        <v>0</v>
      </c>
      <c r="D134" s="316">
        <f>SUM(D135:D140)</f>
        <v>0</v>
      </c>
      <c r="E134" s="316">
        <f>SUM(E135:E140)</f>
        <v>0</v>
      </c>
      <c r="F134" s="316">
        <f t="shared" si="4"/>
        <v>0</v>
      </c>
      <c r="G134" s="316">
        <f t="shared" si="5"/>
        <v>0</v>
      </c>
      <c r="H134" s="316">
        <f>SUM(H135:H140)</f>
        <v>0</v>
      </c>
      <c r="I134" s="316">
        <f>SUM(I135:I140)</f>
        <v>0</v>
      </c>
      <c r="J134" s="316">
        <f t="shared" si="6"/>
        <v>0</v>
      </c>
      <c r="K134" s="316">
        <f t="shared" si="7"/>
        <v>0</v>
      </c>
      <c r="L134" s="316">
        <f>SUM(L135:L140)</f>
        <v>0</v>
      </c>
      <c r="M134" s="105"/>
    </row>
    <row r="135" spans="1:13" ht="12.75">
      <c r="A135" s="313" t="s">
        <v>594</v>
      </c>
      <c r="B135" s="740"/>
      <c r="C135" s="740"/>
      <c r="D135" s="740"/>
      <c r="E135" s="740"/>
      <c r="F135" s="314">
        <f t="shared" si="4"/>
        <v>0</v>
      </c>
      <c r="G135" s="314">
        <f t="shared" si="5"/>
        <v>0</v>
      </c>
      <c r="H135" s="740"/>
      <c r="I135" s="740"/>
      <c r="J135" s="314">
        <f t="shared" si="6"/>
        <v>0</v>
      </c>
      <c r="K135" s="315">
        <f t="shared" si="7"/>
        <v>0</v>
      </c>
      <c r="L135" s="740"/>
      <c r="M135" s="105"/>
    </row>
    <row r="136" spans="1:13" ht="12.75">
      <c r="A136" s="313" t="s">
        <v>595</v>
      </c>
      <c r="B136" s="740"/>
      <c r="C136" s="740"/>
      <c r="D136" s="740"/>
      <c r="E136" s="740"/>
      <c r="F136" s="314">
        <f t="shared" si="4"/>
        <v>0</v>
      </c>
      <c r="G136" s="314">
        <f t="shared" si="5"/>
        <v>0</v>
      </c>
      <c r="H136" s="740"/>
      <c r="I136" s="740"/>
      <c r="J136" s="314">
        <f t="shared" si="6"/>
        <v>0</v>
      </c>
      <c r="K136" s="315">
        <f t="shared" si="7"/>
        <v>0</v>
      </c>
      <c r="L136" s="740"/>
      <c r="M136" s="105"/>
    </row>
    <row r="137" spans="1:13" ht="12.75">
      <c r="A137" s="313" t="s">
        <v>596</v>
      </c>
      <c r="B137" s="740"/>
      <c r="C137" s="740"/>
      <c r="D137" s="740"/>
      <c r="E137" s="740"/>
      <c r="F137" s="314">
        <f t="shared" si="4"/>
        <v>0</v>
      </c>
      <c r="G137" s="314">
        <f t="shared" si="5"/>
        <v>0</v>
      </c>
      <c r="H137" s="740"/>
      <c r="I137" s="740"/>
      <c r="J137" s="314">
        <f t="shared" si="6"/>
        <v>0</v>
      </c>
      <c r="K137" s="315">
        <f t="shared" si="7"/>
        <v>0</v>
      </c>
      <c r="L137" s="740"/>
      <c r="M137" s="105"/>
    </row>
    <row r="138" spans="1:13" ht="12.75">
      <c r="A138" s="313" t="s">
        <v>597</v>
      </c>
      <c r="B138" s="740"/>
      <c r="C138" s="740"/>
      <c r="D138" s="740"/>
      <c r="E138" s="740"/>
      <c r="F138" s="314">
        <f t="shared" si="4"/>
        <v>0</v>
      </c>
      <c r="G138" s="314">
        <f t="shared" si="5"/>
        <v>0</v>
      </c>
      <c r="H138" s="740"/>
      <c r="I138" s="740"/>
      <c r="J138" s="314">
        <f t="shared" si="6"/>
        <v>0</v>
      </c>
      <c r="K138" s="315">
        <f t="shared" si="7"/>
        <v>0</v>
      </c>
      <c r="L138" s="740"/>
      <c r="M138" s="105"/>
    </row>
    <row r="139" spans="1:13" ht="12.75">
      <c r="A139" s="313" t="s">
        <v>598</v>
      </c>
      <c r="B139" s="740"/>
      <c r="C139" s="740"/>
      <c r="D139" s="740"/>
      <c r="E139" s="740"/>
      <c r="F139" s="314">
        <f t="shared" si="4"/>
        <v>0</v>
      </c>
      <c r="G139" s="314">
        <f t="shared" si="5"/>
        <v>0</v>
      </c>
      <c r="H139" s="740"/>
      <c r="I139" s="740"/>
      <c r="J139" s="314">
        <f t="shared" si="6"/>
        <v>0</v>
      </c>
      <c r="K139" s="315">
        <f t="shared" si="7"/>
        <v>0</v>
      </c>
      <c r="L139" s="740"/>
      <c r="M139" s="105"/>
    </row>
    <row r="140" spans="1:13" ht="12.75">
      <c r="A140" s="313" t="s">
        <v>522</v>
      </c>
      <c r="B140" s="740"/>
      <c r="C140" s="740"/>
      <c r="D140" s="740"/>
      <c r="E140" s="740"/>
      <c r="F140" s="314">
        <f t="shared" si="4"/>
        <v>0</v>
      </c>
      <c r="G140" s="314">
        <f t="shared" si="5"/>
        <v>0</v>
      </c>
      <c r="H140" s="740"/>
      <c r="I140" s="740"/>
      <c r="J140" s="314">
        <f t="shared" si="6"/>
        <v>0</v>
      </c>
      <c r="K140" s="315">
        <f t="shared" si="7"/>
        <v>0</v>
      </c>
      <c r="L140" s="740"/>
      <c r="M140" s="105"/>
    </row>
    <row r="141" spans="1:13" ht="12.75">
      <c r="A141" s="312" t="s">
        <v>367</v>
      </c>
      <c r="B141" s="316">
        <f>SUM(B142:B147)</f>
        <v>107120</v>
      </c>
      <c r="C141" s="316">
        <f>SUM(C142:C147)</f>
        <v>107120</v>
      </c>
      <c r="D141" s="316">
        <f>SUM(D142:D147)</f>
        <v>0</v>
      </c>
      <c r="E141" s="316">
        <f>SUM(E142:E147)</f>
        <v>0</v>
      </c>
      <c r="F141" s="316">
        <f t="shared" si="4"/>
        <v>0</v>
      </c>
      <c r="G141" s="316">
        <f t="shared" si="5"/>
        <v>107120</v>
      </c>
      <c r="H141" s="316">
        <f>SUM(H142:H147)</f>
        <v>0</v>
      </c>
      <c r="I141" s="316">
        <f>SUM(I142:I147)</f>
        <v>0</v>
      </c>
      <c r="J141" s="316">
        <f t="shared" si="6"/>
        <v>0</v>
      </c>
      <c r="K141" s="316">
        <f t="shared" si="7"/>
        <v>107120</v>
      </c>
      <c r="L141" s="316">
        <f>SUM(L142:L147)</f>
        <v>0</v>
      </c>
      <c r="M141" s="105"/>
    </row>
    <row r="142" spans="1:13" ht="12.75">
      <c r="A142" s="313" t="s">
        <v>599</v>
      </c>
      <c r="B142" s="740"/>
      <c r="C142" s="740"/>
      <c r="D142" s="740"/>
      <c r="E142" s="740"/>
      <c r="F142" s="314">
        <f aca="true" t="shared" si="8" ref="F142:F178">IF(E$182="",0,IF(E$182=0,0,E142/E$182))</f>
        <v>0</v>
      </c>
      <c r="G142" s="314">
        <f aca="true" t="shared" si="9" ref="G142:G181">+C142-E142</f>
        <v>0</v>
      </c>
      <c r="H142" s="740"/>
      <c r="I142" s="740"/>
      <c r="J142" s="314">
        <f aca="true" t="shared" si="10" ref="J142:J178">IF(I311="",0,IF(I311=0,0,I142/I$182))</f>
        <v>0</v>
      </c>
      <c r="K142" s="315">
        <f aca="true" t="shared" si="11" ref="K142:K181">+C142-I142</f>
        <v>0</v>
      </c>
      <c r="L142" s="740"/>
      <c r="M142" s="105"/>
    </row>
    <row r="143" spans="1:13" ht="12.75">
      <c r="A143" s="313" t="s">
        <v>600</v>
      </c>
      <c r="B143" s="740"/>
      <c r="C143" s="740"/>
      <c r="D143" s="740"/>
      <c r="E143" s="740"/>
      <c r="F143" s="314">
        <f t="shared" si="8"/>
        <v>0</v>
      </c>
      <c r="G143" s="314">
        <f t="shared" si="9"/>
        <v>0</v>
      </c>
      <c r="H143" s="740"/>
      <c r="I143" s="740"/>
      <c r="J143" s="314">
        <f t="shared" si="10"/>
        <v>0</v>
      </c>
      <c r="K143" s="315">
        <f t="shared" si="11"/>
        <v>0</v>
      </c>
      <c r="L143" s="740"/>
      <c r="M143" s="105"/>
    </row>
    <row r="144" spans="1:13" ht="12.75">
      <c r="A144" s="313" t="s">
        <v>601</v>
      </c>
      <c r="B144" s="740"/>
      <c r="C144" s="740"/>
      <c r="D144" s="740"/>
      <c r="E144" s="740"/>
      <c r="F144" s="314">
        <f t="shared" si="8"/>
        <v>0</v>
      </c>
      <c r="G144" s="314">
        <f t="shared" si="9"/>
        <v>0</v>
      </c>
      <c r="H144" s="740"/>
      <c r="I144" s="740"/>
      <c r="J144" s="314">
        <f t="shared" si="10"/>
        <v>0</v>
      </c>
      <c r="K144" s="315">
        <f t="shared" si="11"/>
        <v>0</v>
      </c>
      <c r="L144" s="740"/>
      <c r="M144" s="105"/>
    </row>
    <row r="145" spans="1:13" ht="12.75">
      <c r="A145" s="313" t="s">
        <v>602</v>
      </c>
      <c r="B145" s="740"/>
      <c r="C145" s="740"/>
      <c r="D145" s="740"/>
      <c r="E145" s="740"/>
      <c r="F145" s="314">
        <f t="shared" si="8"/>
        <v>0</v>
      </c>
      <c r="G145" s="314">
        <f t="shared" si="9"/>
        <v>0</v>
      </c>
      <c r="H145" s="740"/>
      <c r="I145" s="740"/>
      <c r="J145" s="314">
        <f t="shared" si="10"/>
        <v>0</v>
      </c>
      <c r="K145" s="315">
        <f t="shared" si="11"/>
        <v>0</v>
      </c>
      <c r="L145" s="740"/>
      <c r="M145" s="105"/>
    </row>
    <row r="146" spans="1:13" ht="12.75">
      <c r="A146" s="313" t="s">
        <v>603</v>
      </c>
      <c r="B146" s="740">
        <v>107120</v>
      </c>
      <c r="C146" s="740">
        <v>107120</v>
      </c>
      <c r="D146" s="740">
        <v>0</v>
      </c>
      <c r="E146" s="740">
        <v>0</v>
      </c>
      <c r="F146" s="314">
        <f t="shared" si="8"/>
        <v>0</v>
      </c>
      <c r="G146" s="314">
        <f t="shared" si="9"/>
        <v>107120</v>
      </c>
      <c r="H146" s="740">
        <v>0</v>
      </c>
      <c r="I146" s="740">
        <v>0</v>
      </c>
      <c r="J146" s="314">
        <f t="shared" si="10"/>
        <v>0</v>
      </c>
      <c r="K146" s="315">
        <f t="shared" si="11"/>
        <v>107120</v>
      </c>
      <c r="L146" s="740">
        <v>0</v>
      </c>
      <c r="M146" s="105"/>
    </row>
    <row r="147" spans="1:13" ht="12.75">
      <c r="A147" s="313" t="s">
        <v>522</v>
      </c>
      <c r="B147" s="740"/>
      <c r="C147" s="740"/>
      <c r="D147" s="740"/>
      <c r="E147" s="740"/>
      <c r="F147" s="314">
        <f t="shared" si="8"/>
        <v>0</v>
      </c>
      <c r="G147" s="314">
        <f t="shared" si="9"/>
        <v>0</v>
      </c>
      <c r="H147" s="740"/>
      <c r="I147" s="740"/>
      <c r="J147" s="314">
        <f t="shared" si="10"/>
        <v>0</v>
      </c>
      <c r="K147" s="315">
        <f t="shared" si="11"/>
        <v>0</v>
      </c>
      <c r="L147" s="740"/>
      <c r="M147" s="105"/>
    </row>
    <row r="148" spans="1:13" ht="12.75">
      <c r="A148" s="312" t="s">
        <v>368</v>
      </c>
      <c r="B148" s="241">
        <f>SUM(B149:B151)</f>
        <v>0</v>
      </c>
      <c r="C148" s="241">
        <f>SUM(C149:C151)</f>
        <v>0</v>
      </c>
      <c r="D148" s="241">
        <f>SUM(D149:D151)</f>
        <v>0</v>
      </c>
      <c r="E148" s="241">
        <f>SUM(E149:E151)</f>
        <v>0</v>
      </c>
      <c r="F148" s="241">
        <f t="shared" si="8"/>
        <v>0</v>
      </c>
      <c r="G148" s="241">
        <f t="shared" si="9"/>
        <v>0</v>
      </c>
      <c r="H148" s="241">
        <f>SUM(H149:H151)</f>
        <v>0</v>
      </c>
      <c r="I148" s="241">
        <f>SUM(I149:I151)</f>
        <v>0</v>
      </c>
      <c r="J148" s="241">
        <f t="shared" si="10"/>
        <v>0</v>
      </c>
      <c r="K148" s="241">
        <f t="shared" si="11"/>
        <v>0</v>
      </c>
      <c r="L148" s="241">
        <f>SUM(L149:L151)</f>
        <v>0</v>
      </c>
      <c r="M148" s="105"/>
    </row>
    <row r="149" spans="1:13" ht="12.75">
      <c r="A149" s="313" t="s">
        <v>604</v>
      </c>
      <c r="B149" s="740"/>
      <c r="C149" s="740"/>
      <c r="D149" s="740"/>
      <c r="E149" s="740"/>
      <c r="F149" s="314">
        <f t="shared" si="8"/>
        <v>0</v>
      </c>
      <c r="G149" s="314">
        <f t="shared" si="9"/>
        <v>0</v>
      </c>
      <c r="H149" s="740"/>
      <c r="I149" s="740"/>
      <c r="J149" s="314">
        <f t="shared" si="10"/>
        <v>0</v>
      </c>
      <c r="K149" s="315">
        <f t="shared" si="11"/>
        <v>0</v>
      </c>
      <c r="L149" s="740"/>
      <c r="M149" s="105"/>
    </row>
    <row r="150" spans="1:13" ht="12.75">
      <c r="A150" s="313" t="s">
        <v>605</v>
      </c>
      <c r="B150" s="740"/>
      <c r="C150" s="740"/>
      <c r="D150" s="740"/>
      <c r="E150" s="740"/>
      <c r="F150" s="314">
        <f t="shared" si="8"/>
        <v>0</v>
      </c>
      <c r="G150" s="314">
        <f t="shared" si="9"/>
        <v>0</v>
      </c>
      <c r="H150" s="740"/>
      <c r="I150" s="740"/>
      <c r="J150" s="314">
        <f t="shared" si="10"/>
        <v>0</v>
      </c>
      <c r="K150" s="315">
        <f t="shared" si="11"/>
        <v>0</v>
      </c>
      <c r="L150" s="740"/>
      <c r="M150" s="105"/>
    </row>
    <row r="151" spans="1:13" ht="12.75">
      <c r="A151" s="313" t="s">
        <v>522</v>
      </c>
      <c r="B151" s="740"/>
      <c r="C151" s="740"/>
      <c r="D151" s="740"/>
      <c r="E151" s="740"/>
      <c r="F151" s="314">
        <f t="shared" si="8"/>
        <v>0</v>
      </c>
      <c r="G151" s="314">
        <f t="shared" si="9"/>
        <v>0</v>
      </c>
      <c r="H151" s="740"/>
      <c r="I151" s="740"/>
      <c r="J151" s="314">
        <f t="shared" si="10"/>
        <v>0</v>
      </c>
      <c r="K151" s="315">
        <f t="shared" si="11"/>
        <v>0</v>
      </c>
      <c r="L151" s="740"/>
      <c r="M151" s="105"/>
    </row>
    <row r="152" spans="1:13" ht="12.75">
      <c r="A152" s="312" t="s">
        <v>369</v>
      </c>
      <c r="B152" s="316">
        <f>SUM(B153:B157)</f>
        <v>418080</v>
      </c>
      <c r="C152" s="316">
        <f>SUM(C153:C157)</f>
        <v>513080</v>
      </c>
      <c r="D152" s="316">
        <f>SUM(D153:D157)</f>
        <v>0</v>
      </c>
      <c r="E152" s="316">
        <f>SUM(E153:E157)</f>
        <v>118765</v>
      </c>
      <c r="F152" s="316">
        <f t="shared" si="8"/>
        <v>0.008179525229391055</v>
      </c>
      <c r="G152" s="316">
        <f t="shared" si="9"/>
        <v>394315</v>
      </c>
      <c r="H152" s="316">
        <f>SUM(H153:H157)</f>
        <v>0</v>
      </c>
      <c r="I152" s="316">
        <f>SUM(I153:I157)</f>
        <v>118765</v>
      </c>
      <c r="J152" s="316">
        <f t="shared" si="10"/>
        <v>0</v>
      </c>
      <c r="K152" s="316">
        <f t="shared" si="11"/>
        <v>394315</v>
      </c>
      <c r="L152" s="316">
        <f>SUM(L153:L157)</f>
        <v>0</v>
      </c>
      <c r="M152" s="105"/>
    </row>
    <row r="153" spans="1:13" ht="12.75">
      <c r="A153" s="313" t="s">
        <v>606</v>
      </c>
      <c r="B153" s="740"/>
      <c r="C153" s="740"/>
      <c r="D153" s="740"/>
      <c r="E153" s="740"/>
      <c r="F153" s="314">
        <f t="shared" si="8"/>
        <v>0</v>
      </c>
      <c r="G153" s="314">
        <f t="shared" si="9"/>
        <v>0</v>
      </c>
      <c r="H153" s="740"/>
      <c r="I153" s="740"/>
      <c r="J153" s="314">
        <f t="shared" si="10"/>
        <v>0</v>
      </c>
      <c r="K153" s="315">
        <f t="shared" si="11"/>
        <v>0</v>
      </c>
      <c r="L153" s="740"/>
      <c r="M153" s="105"/>
    </row>
    <row r="154" spans="1:13" ht="12.75">
      <c r="A154" s="313" t="s">
        <v>607</v>
      </c>
      <c r="B154" s="740">
        <v>418080</v>
      </c>
      <c r="C154" s="740">
        <v>513080</v>
      </c>
      <c r="D154" s="740">
        <v>0</v>
      </c>
      <c r="E154" s="740">
        <v>118765</v>
      </c>
      <c r="F154" s="314">
        <f t="shared" si="8"/>
        <v>0.008179525229391055</v>
      </c>
      <c r="G154" s="314">
        <f t="shared" si="9"/>
        <v>394315</v>
      </c>
      <c r="H154" s="740">
        <v>0</v>
      </c>
      <c r="I154" s="740">
        <v>118765</v>
      </c>
      <c r="J154" s="314">
        <f t="shared" si="10"/>
        <v>0</v>
      </c>
      <c r="K154" s="315">
        <f t="shared" si="11"/>
        <v>394315</v>
      </c>
      <c r="L154" s="740">
        <v>0</v>
      </c>
      <c r="M154" s="105"/>
    </row>
    <row r="155" spans="1:13" ht="12.75">
      <c r="A155" s="313" t="s">
        <v>608</v>
      </c>
      <c r="B155" s="740"/>
      <c r="C155" s="740"/>
      <c r="D155" s="740"/>
      <c r="E155" s="740"/>
      <c r="F155" s="314">
        <f t="shared" si="8"/>
        <v>0</v>
      </c>
      <c r="G155" s="314">
        <f t="shared" si="9"/>
        <v>0</v>
      </c>
      <c r="H155" s="740"/>
      <c r="I155" s="740"/>
      <c r="J155" s="314">
        <f t="shared" si="10"/>
        <v>0</v>
      </c>
      <c r="K155" s="315">
        <f t="shared" si="11"/>
        <v>0</v>
      </c>
      <c r="L155" s="740"/>
      <c r="M155" s="105"/>
    </row>
    <row r="156" spans="1:13" ht="12.75">
      <c r="A156" s="313" t="s">
        <v>609</v>
      </c>
      <c r="B156" s="740"/>
      <c r="C156" s="740"/>
      <c r="D156" s="740"/>
      <c r="E156" s="740"/>
      <c r="F156" s="314">
        <f t="shared" si="8"/>
        <v>0</v>
      </c>
      <c r="G156" s="314">
        <f t="shared" si="9"/>
        <v>0</v>
      </c>
      <c r="H156" s="740"/>
      <c r="I156" s="740"/>
      <c r="J156" s="314">
        <f t="shared" si="10"/>
        <v>0</v>
      </c>
      <c r="K156" s="315">
        <f t="shared" si="11"/>
        <v>0</v>
      </c>
      <c r="L156" s="740"/>
      <c r="M156" s="105"/>
    </row>
    <row r="157" spans="1:13" ht="12.75">
      <c r="A157" s="313" t="s">
        <v>522</v>
      </c>
      <c r="B157" s="740"/>
      <c r="C157" s="740"/>
      <c r="D157" s="740"/>
      <c r="E157" s="740"/>
      <c r="F157" s="314">
        <f t="shared" si="8"/>
        <v>0</v>
      </c>
      <c r="G157" s="314">
        <f t="shared" si="9"/>
        <v>0</v>
      </c>
      <c r="H157" s="740"/>
      <c r="I157" s="740"/>
      <c r="J157" s="314">
        <f t="shared" si="10"/>
        <v>0</v>
      </c>
      <c r="K157" s="315">
        <f t="shared" si="11"/>
        <v>0</v>
      </c>
      <c r="L157" s="740"/>
      <c r="M157" s="105"/>
    </row>
    <row r="158" spans="1:13" ht="12.75">
      <c r="A158" s="312" t="s">
        <v>370</v>
      </c>
      <c r="B158" s="316">
        <f>SUM(B159:B164)</f>
        <v>1305200</v>
      </c>
      <c r="C158" s="316">
        <f>SUM(C159:C164)</f>
        <v>2443252.62</v>
      </c>
      <c r="D158" s="316">
        <f>SUM(D159:D164)</f>
        <v>0</v>
      </c>
      <c r="E158" s="316">
        <f>SUM(E159:E164)</f>
        <v>1625812.62</v>
      </c>
      <c r="F158" s="316">
        <f t="shared" si="8"/>
        <v>0.1119721748288837</v>
      </c>
      <c r="G158" s="316">
        <f t="shared" si="9"/>
        <v>817440</v>
      </c>
      <c r="H158" s="316">
        <f>SUM(H159:H164)</f>
        <v>0</v>
      </c>
      <c r="I158" s="316">
        <f>SUM(I159:I164)</f>
        <v>906315</v>
      </c>
      <c r="J158" s="316">
        <f t="shared" si="10"/>
        <v>0</v>
      </c>
      <c r="K158" s="316">
        <f t="shared" si="11"/>
        <v>1536937.62</v>
      </c>
      <c r="L158" s="316">
        <f>SUM(L159:L164)</f>
        <v>0</v>
      </c>
      <c r="M158" s="105"/>
    </row>
    <row r="159" spans="1:13" ht="12.75">
      <c r="A159" s="313" t="s">
        <v>610</v>
      </c>
      <c r="B159" s="740">
        <v>66560</v>
      </c>
      <c r="C159" s="740">
        <v>66560</v>
      </c>
      <c r="D159" s="740">
        <v>0</v>
      </c>
      <c r="E159" s="740">
        <v>0</v>
      </c>
      <c r="F159" s="314">
        <f t="shared" si="8"/>
        <v>0</v>
      </c>
      <c r="G159" s="314">
        <f t="shared" si="9"/>
        <v>66560</v>
      </c>
      <c r="H159" s="740">
        <v>0</v>
      </c>
      <c r="I159" s="740">
        <v>0</v>
      </c>
      <c r="J159" s="314">
        <f t="shared" si="10"/>
        <v>0</v>
      </c>
      <c r="K159" s="315">
        <f t="shared" si="11"/>
        <v>66560</v>
      </c>
      <c r="L159" s="740">
        <v>0</v>
      </c>
      <c r="M159" s="105"/>
    </row>
    <row r="160" spans="1:13" ht="12.75">
      <c r="A160" s="313" t="s">
        <v>611</v>
      </c>
      <c r="B160" s="740">
        <v>1204320</v>
      </c>
      <c r="C160" s="740">
        <v>2342372.62</v>
      </c>
      <c r="D160" s="740">
        <v>0</v>
      </c>
      <c r="E160" s="740">
        <v>1625812.62</v>
      </c>
      <c r="F160" s="314">
        <f t="shared" si="8"/>
        <v>0.1119721748288837</v>
      </c>
      <c r="G160" s="314">
        <f t="shared" si="9"/>
        <v>716560</v>
      </c>
      <c r="H160" s="740">
        <v>0</v>
      </c>
      <c r="I160" s="740">
        <v>906315</v>
      </c>
      <c r="J160" s="314">
        <f t="shared" si="10"/>
        <v>0</v>
      </c>
      <c r="K160" s="315">
        <f t="shared" si="11"/>
        <v>1436057.62</v>
      </c>
      <c r="L160" s="740">
        <v>0</v>
      </c>
      <c r="M160" s="105"/>
    </row>
    <row r="161" spans="1:13" ht="12.75">
      <c r="A161" s="313" t="s">
        <v>612</v>
      </c>
      <c r="B161" s="740"/>
      <c r="C161" s="740"/>
      <c r="D161" s="740"/>
      <c r="E161" s="740"/>
      <c r="F161" s="314">
        <f t="shared" si="8"/>
        <v>0</v>
      </c>
      <c r="G161" s="314">
        <f t="shared" si="9"/>
        <v>0</v>
      </c>
      <c r="H161" s="740"/>
      <c r="I161" s="740"/>
      <c r="J161" s="314">
        <f t="shared" si="10"/>
        <v>0</v>
      </c>
      <c r="K161" s="315">
        <f t="shared" si="11"/>
        <v>0</v>
      </c>
      <c r="L161" s="740"/>
      <c r="M161" s="105"/>
    </row>
    <row r="162" spans="1:13" ht="12.75">
      <c r="A162" s="313" t="s">
        <v>613</v>
      </c>
      <c r="B162" s="740">
        <v>34320</v>
      </c>
      <c r="C162" s="740">
        <v>34320</v>
      </c>
      <c r="D162" s="740">
        <v>0</v>
      </c>
      <c r="E162" s="740">
        <v>0</v>
      </c>
      <c r="F162" s="314">
        <f t="shared" si="8"/>
        <v>0</v>
      </c>
      <c r="G162" s="314">
        <f t="shared" si="9"/>
        <v>34320</v>
      </c>
      <c r="H162" s="740">
        <v>0</v>
      </c>
      <c r="I162" s="740">
        <v>0</v>
      </c>
      <c r="J162" s="314">
        <f t="shared" si="10"/>
        <v>0</v>
      </c>
      <c r="K162" s="315">
        <f t="shared" si="11"/>
        <v>34320</v>
      </c>
      <c r="L162" s="740">
        <v>0</v>
      </c>
      <c r="M162" s="105"/>
    </row>
    <row r="163" spans="1:13" ht="12.75">
      <c r="A163" s="313" t="s">
        <v>614</v>
      </c>
      <c r="B163" s="740"/>
      <c r="C163" s="740"/>
      <c r="D163" s="740"/>
      <c r="E163" s="740"/>
      <c r="F163" s="314">
        <f t="shared" si="8"/>
        <v>0</v>
      </c>
      <c r="G163" s="314">
        <f t="shared" si="9"/>
        <v>0</v>
      </c>
      <c r="H163" s="740"/>
      <c r="I163" s="740"/>
      <c r="J163" s="314">
        <f t="shared" si="10"/>
        <v>0</v>
      </c>
      <c r="K163" s="315">
        <f t="shared" si="11"/>
        <v>0</v>
      </c>
      <c r="L163" s="740"/>
      <c r="M163" s="105"/>
    </row>
    <row r="164" spans="1:13" ht="12.75">
      <c r="A164" s="313" t="s">
        <v>522</v>
      </c>
      <c r="B164" s="740"/>
      <c r="C164" s="740"/>
      <c r="D164" s="740"/>
      <c r="E164" s="740"/>
      <c r="F164" s="314">
        <f t="shared" si="8"/>
        <v>0</v>
      </c>
      <c r="G164" s="314">
        <f t="shared" si="9"/>
        <v>0</v>
      </c>
      <c r="H164" s="740"/>
      <c r="I164" s="740"/>
      <c r="J164" s="314">
        <f t="shared" si="10"/>
        <v>0</v>
      </c>
      <c r="K164" s="315">
        <f t="shared" si="11"/>
        <v>0</v>
      </c>
      <c r="L164" s="740"/>
      <c r="M164" s="105"/>
    </row>
    <row r="165" spans="1:13" ht="12.75">
      <c r="A165" s="312" t="s">
        <v>371</v>
      </c>
      <c r="B165" s="316">
        <f>SUM(B166:B169)</f>
        <v>156080</v>
      </c>
      <c r="C165" s="316">
        <f>SUM(C166:C169)</f>
        <v>156080</v>
      </c>
      <c r="D165" s="316">
        <f>SUM(D166:D169)</f>
        <v>0</v>
      </c>
      <c r="E165" s="316">
        <f>SUM(E166:E169)</f>
        <v>2400</v>
      </c>
      <c r="F165" s="316">
        <f t="shared" si="8"/>
        <v>0.00016529163095641418</v>
      </c>
      <c r="G165" s="316">
        <f t="shared" si="9"/>
        <v>153680</v>
      </c>
      <c r="H165" s="316">
        <f>SUM(H166:H169)</f>
        <v>0</v>
      </c>
      <c r="I165" s="316">
        <f>SUM(I166:I169)</f>
        <v>2400</v>
      </c>
      <c r="J165" s="316">
        <f t="shared" si="10"/>
        <v>0</v>
      </c>
      <c r="K165" s="316">
        <f t="shared" si="11"/>
        <v>153680</v>
      </c>
      <c r="L165" s="316">
        <f>SUM(L166:L169)</f>
        <v>0</v>
      </c>
      <c r="M165" s="105"/>
    </row>
    <row r="166" spans="1:13" ht="12.75">
      <c r="A166" s="313" t="s">
        <v>615</v>
      </c>
      <c r="B166" s="740">
        <v>156080</v>
      </c>
      <c r="C166" s="740">
        <v>156080</v>
      </c>
      <c r="D166" s="740">
        <v>0</v>
      </c>
      <c r="E166" s="740">
        <v>2400</v>
      </c>
      <c r="F166" s="314">
        <f t="shared" si="8"/>
        <v>0.00016529163095641418</v>
      </c>
      <c r="G166" s="314">
        <f t="shared" si="9"/>
        <v>153680</v>
      </c>
      <c r="H166" s="740">
        <v>0</v>
      </c>
      <c r="I166" s="740">
        <v>2400</v>
      </c>
      <c r="J166" s="314">
        <f t="shared" si="10"/>
        <v>0</v>
      </c>
      <c r="K166" s="315">
        <f t="shared" si="11"/>
        <v>153680</v>
      </c>
      <c r="L166" s="740">
        <v>0</v>
      </c>
      <c r="M166" s="105"/>
    </row>
    <row r="167" spans="1:13" ht="12.75">
      <c r="A167" s="313" t="s">
        <v>616</v>
      </c>
      <c r="B167" s="740"/>
      <c r="C167" s="740"/>
      <c r="D167" s="740"/>
      <c r="E167" s="740"/>
      <c r="F167" s="314">
        <f t="shared" si="8"/>
        <v>0</v>
      </c>
      <c r="G167" s="314">
        <f t="shared" si="9"/>
        <v>0</v>
      </c>
      <c r="H167" s="740"/>
      <c r="I167" s="740"/>
      <c r="J167" s="314">
        <f t="shared" si="10"/>
        <v>0</v>
      </c>
      <c r="K167" s="315">
        <f t="shared" si="11"/>
        <v>0</v>
      </c>
      <c r="L167" s="740"/>
      <c r="M167" s="105"/>
    </row>
    <row r="168" spans="1:13" ht="12.75">
      <c r="A168" s="313" t="s">
        <v>617</v>
      </c>
      <c r="B168" s="740"/>
      <c r="C168" s="740"/>
      <c r="D168" s="740"/>
      <c r="E168" s="740"/>
      <c r="F168" s="314">
        <f t="shared" si="8"/>
        <v>0</v>
      </c>
      <c r="G168" s="314">
        <f t="shared" si="9"/>
        <v>0</v>
      </c>
      <c r="H168" s="740"/>
      <c r="I168" s="740"/>
      <c r="J168" s="314">
        <f t="shared" si="10"/>
        <v>0</v>
      </c>
      <c r="K168" s="315">
        <f t="shared" si="11"/>
        <v>0</v>
      </c>
      <c r="L168" s="740"/>
      <c r="M168" s="105"/>
    </row>
    <row r="169" spans="1:13" ht="12.75">
      <c r="A169" s="313" t="s">
        <v>522</v>
      </c>
      <c r="B169" s="740"/>
      <c r="C169" s="740"/>
      <c r="D169" s="740"/>
      <c r="E169" s="740"/>
      <c r="F169" s="314">
        <f t="shared" si="8"/>
        <v>0</v>
      </c>
      <c r="G169" s="314">
        <f t="shared" si="9"/>
        <v>0</v>
      </c>
      <c r="H169" s="740"/>
      <c r="I169" s="740"/>
      <c r="J169" s="314">
        <f t="shared" si="10"/>
        <v>0</v>
      </c>
      <c r="K169" s="315">
        <f t="shared" si="11"/>
        <v>0</v>
      </c>
      <c r="L169" s="740"/>
      <c r="M169" s="105"/>
    </row>
    <row r="170" spans="1:13" ht="12.75">
      <c r="A170" s="312" t="s">
        <v>372</v>
      </c>
      <c r="B170" s="316">
        <f>SUM(B171:B178)</f>
        <v>59280</v>
      </c>
      <c r="C170" s="316">
        <f>SUM(C171:C178)</f>
        <v>99280</v>
      </c>
      <c r="D170" s="316">
        <f>SUM(D171:D178)</f>
        <v>5231.38</v>
      </c>
      <c r="E170" s="316">
        <f>SUM(E171:E178)</f>
        <v>70151.78</v>
      </c>
      <c r="F170" s="316">
        <f t="shared" si="8"/>
        <v>0.004831459221123149</v>
      </c>
      <c r="G170" s="316">
        <f t="shared" si="9"/>
        <v>29128.22</v>
      </c>
      <c r="H170" s="316">
        <f>SUM(H171:H178)</f>
        <v>5231.38</v>
      </c>
      <c r="I170" s="316">
        <f>SUM(I171:I178)</f>
        <v>70151.78</v>
      </c>
      <c r="J170" s="316">
        <f t="shared" si="10"/>
        <v>0</v>
      </c>
      <c r="K170" s="316">
        <f t="shared" si="11"/>
        <v>29128.22</v>
      </c>
      <c r="L170" s="316">
        <f>SUM(L171:L178)</f>
        <v>0</v>
      </c>
      <c r="M170" s="105"/>
    </row>
    <row r="171" spans="1:13" ht="12.75">
      <c r="A171" s="313" t="s">
        <v>618</v>
      </c>
      <c r="B171" s="740"/>
      <c r="C171" s="740"/>
      <c r="D171" s="740"/>
      <c r="E171" s="740"/>
      <c r="F171" s="314">
        <f t="shared" si="8"/>
        <v>0</v>
      </c>
      <c r="G171" s="314">
        <f t="shared" si="9"/>
        <v>0</v>
      </c>
      <c r="H171" s="740"/>
      <c r="I171" s="740"/>
      <c r="J171" s="314">
        <f t="shared" si="10"/>
        <v>0</v>
      </c>
      <c r="K171" s="315">
        <f t="shared" si="11"/>
        <v>0</v>
      </c>
      <c r="L171" s="740"/>
      <c r="M171" s="105"/>
    </row>
    <row r="172" spans="1:13" ht="12.75">
      <c r="A172" s="313" t="s">
        <v>619</v>
      </c>
      <c r="B172" s="740"/>
      <c r="C172" s="740"/>
      <c r="D172" s="740"/>
      <c r="E172" s="740"/>
      <c r="F172" s="314">
        <f t="shared" si="8"/>
        <v>0</v>
      </c>
      <c r="G172" s="314">
        <f t="shared" si="9"/>
        <v>0</v>
      </c>
      <c r="H172" s="740"/>
      <c r="I172" s="740"/>
      <c r="J172" s="314">
        <f t="shared" si="10"/>
        <v>0</v>
      </c>
      <c r="K172" s="315">
        <f t="shared" si="11"/>
        <v>0</v>
      </c>
      <c r="L172" s="740"/>
      <c r="M172" s="105"/>
    </row>
    <row r="173" spans="1:13" ht="12.75">
      <c r="A173" s="313" t="s">
        <v>620</v>
      </c>
      <c r="B173" s="740"/>
      <c r="C173" s="740"/>
      <c r="D173" s="740"/>
      <c r="E173" s="740"/>
      <c r="F173" s="314">
        <f t="shared" si="8"/>
        <v>0</v>
      </c>
      <c r="G173" s="314">
        <f t="shared" si="9"/>
        <v>0</v>
      </c>
      <c r="H173" s="740"/>
      <c r="I173" s="740"/>
      <c r="J173" s="314">
        <f t="shared" si="10"/>
        <v>0</v>
      </c>
      <c r="K173" s="315">
        <f t="shared" si="11"/>
        <v>0</v>
      </c>
      <c r="L173" s="740"/>
      <c r="M173" s="105"/>
    </row>
    <row r="174" spans="1:13" ht="12.75">
      <c r="A174" s="313" t="s">
        <v>621</v>
      </c>
      <c r="B174" s="740"/>
      <c r="C174" s="740"/>
      <c r="D174" s="740"/>
      <c r="E174" s="740"/>
      <c r="F174" s="314">
        <f t="shared" si="8"/>
        <v>0</v>
      </c>
      <c r="G174" s="314">
        <f t="shared" si="9"/>
        <v>0</v>
      </c>
      <c r="H174" s="740"/>
      <c r="I174" s="740"/>
      <c r="J174" s="314">
        <f t="shared" si="10"/>
        <v>0</v>
      </c>
      <c r="K174" s="315">
        <f t="shared" si="11"/>
        <v>0</v>
      </c>
      <c r="L174" s="740"/>
      <c r="M174" s="105"/>
    </row>
    <row r="175" spans="1:13" ht="12.75">
      <c r="A175" s="313" t="s">
        <v>622</v>
      </c>
      <c r="B175" s="740"/>
      <c r="C175" s="740"/>
      <c r="D175" s="740"/>
      <c r="E175" s="740"/>
      <c r="F175" s="314">
        <f t="shared" si="8"/>
        <v>0</v>
      </c>
      <c r="G175" s="314">
        <f t="shared" si="9"/>
        <v>0</v>
      </c>
      <c r="H175" s="740"/>
      <c r="I175" s="740"/>
      <c r="J175" s="314">
        <f t="shared" si="10"/>
        <v>0</v>
      </c>
      <c r="K175" s="315">
        <f t="shared" si="11"/>
        <v>0</v>
      </c>
      <c r="L175" s="740"/>
      <c r="M175" s="105"/>
    </row>
    <row r="176" spans="1:13" ht="12.75">
      <c r="A176" s="313" t="s">
        <v>623</v>
      </c>
      <c r="B176" s="740">
        <v>59280</v>
      </c>
      <c r="C176" s="740">
        <v>99280</v>
      </c>
      <c r="D176" s="740">
        <v>5231.38</v>
      </c>
      <c r="E176" s="740">
        <v>70151.78</v>
      </c>
      <c r="F176" s="314">
        <f t="shared" si="8"/>
        <v>0.004831459221123149</v>
      </c>
      <c r="G176" s="314">
        <f t="shared" si="9"/>
        <v>29128.22</v>
      </c>
      <c r="H176" s="740">
        <v>5231.38</v>
      </c>
      <c r="I176" s="740">
        <v>70151.78</v>
      </c>
      <c r="J176" s="314">
        <f t="shared" si="10"/>
        <v>0</v>
      </c>
      <c r="K176" s="315">
        <f t="shared" si="11"/>
        <v>29128.22</v>
      </c>
      <c r="L176" s="740">
        <v>0</v>
      </c>
      <c r="M176" s="105"/>
    </row>
    <row r="177" spans="1:13" ht="12.75">
      <c r="A177" s="313" t="s">
        <v>962</v>
      </c>
      <c r="B177" s="740"/>
      <c r="C177" s="740"/>
      <c r="D177" s="740"/>
      <c r="E177" s="740"/>
      <c r="F177" s="314">
        <f t="shared" si="8"/>
        <v>0</v>
      </c>
      <c r="G177" s="314">
        <f t="shared" si="9"/>
        <v>0</v>
      </c>
      <c r="H177" s="740"/>
      <c r="I177" s="740"/>
      <c r="J177" s="314">
        <f t="shared" si="10"/>
        <v>0</v>
      </c>
      <c r="K177" s="315">
        <f t="shared" si="11"/>
        <v>0</v>
      </c>
      <c r="L177" s="740"/>
      <c r="M177" s="105"/>
    </row>
    <row r="178" spans="1:13" ht="12.75">
      <c r="A178" s="313" t="s">
        <v>522</v>
      </c>
      <c r="B178" s="740"/>
      <c r="C178" s="740"/>
      <c r="D178" s="740"/>
      <c r="E178" s="740"/>
      <c r="F178" s="314">
        <f t="shared" si="8"/>
        <v>0</v>
      </c>
      <c r="G178" s="314">
        <f t="shared" si="9"/>
        <v>0</v>
      </c>
      <c r="H178" s="740"/>
      <c r="I178" s="740"/>
      <c r="J178" s="314">
        <f t="shared" si="10"/>
        <v>0</v>
      </c>
      <c r="K178" s="315">
        <f t="shared" si="11"/>
        <v>0</v>
      </c>
      <c r="L178" s="740"/>
      <c r="M178" s="105"/>
    </row>
    <row r="179" spans="1:13" ht="12.75">
      <c r="A179" s="312" t="s">
        <v>98</v>
      </c>
      <c r="B179" s="740"/>
      <c r="C179" s="740"/>
      <c r="D179" s="318"/>
      <c r="E179" s="318"/>
      <c r="F179" s="318"/>
      <c r="G179" s="319">
        <f t="shared" si="9"/>
        <v>0</v>
      </c>
      <c r="H179" s="318"/>
      <c r="I179" s="318"/>
      <c r="J179" s="318"/>
      <c r="K179" s="319">
        <f t="shared" si="11"/>
        <v>0</v>
      </c>
      <c r="L179" s="318"/>
      <c r="M179" s="320"/>
    </row>
    <row r="180" spans="1:13" ht="12.75">
      <c r="A180" s="312" t="s">
        <v>99</v>
      </c>
      <c r="B180" s="317"/>
      <c r="C180" s="317"/>
      <c r="D180" s="318"/>
      <c r="E180" s="318"/>
      <c r="F180" s="318"/>
      <c r="G180" s="319">
        <f t="shared" si="9"/>
        <v>0</v>
      </c>
      <c r="H180" s="318"/>
      <c r="I180" s="318"/>
      <c r="J180" s="318"/>
      <c r="K180" s="319">
        <f t="shared" si="11"/>
        <v>0</v>
      </c>
      <c r="L180" s="318"/>
      <c r="M180" s="105"/>
    </row>
    <row r="181" spans="1:13" ht="12.75">
      <c r="A181" s="321" t="s">
        <v>259</v>
      </c>
      <c r="B181" s="322"/>
      <c r="C181" s="322"/>
      <c r="D181" s="322"/>
      <c r="E181" s="322"/>
      <c r="F181" s="323">
        <f>IF(E$182="",0,IF(E$182=0,0,E181/E$182))</f>
        <v>0</v>
      </c>
      <c r="G181" s="323">
        <f t="shared" si="9"/>
        <v>0</v>
      </c>
      <c r="H181" s="322"/>
      <c r="I181" s="322"/>
      <c r="J181" s="323">
        <f>IF(I350="",0,IF(I350=0,0,I181/I$182))</f>
        <v>0</v>
      </c>
      <c r="K181" s="324">
        <f t="shared" si="11"/>
        <v>0</v>
      </c>
      <c r="L181" s="322"/>
      <c r="M181" s="105"/>
    </row>
    <row r="182" spans="1:13" ht="12.75">
      <c r="A182" s="325" t="s">
        <v>260</v>
      </c>
      <c r="B182" s="326">
        <f>+B181+B13</f>
        <v>23638990</v>
      </c>
      <c r="C182" s="326">
        <f aca="true" t="shared" si="12" ref="C182:L182">+C181+C13</f>
        <v>31079493.12</v>
      </c>
      <c r="D182" s="326">
        <f t="shared" si="12"/>
        <v>1850122.7799999998</v>
      </c>
      <c r="E182" s="326">
        <f t="shared" si="12"/>
        <v>14519791.389999999</v>
      </c>
      <c r="F182" s="326">
        <f t="shared" si="12"/>
        <v>1</v>
      </c>
      <c r="G182" s="326">
        <f t="shared" si="12"/>
        <v>16559701.730000002</v>
      </c>
      <c r="H182" s="326">
        <f t="shared" si="12"/>
        <v>1850122.7799999998</v>
      </c>
      <c r="I182" s="326">
        <f t="shared" si="12"/>
        <v>13800293.769999998</v>
      </c>
      <c r="J182" s="326">
        <f t="shared" si="12"/>
        <v>1</v>
      </c>
      <c r="K182" s="326">
        <f t="shared" si="12"/>
        <v>17279199.35</v>
      </c>
      <c r="L182" s="326">
        <f t="shared" si="12"/>
        <v>0</v>
      </c>
      <c r="M182" s="171"/>
    </row>
    <row r="183" spans="1:13" ht="12.75" customHeight="1">
      <c r="A183" s="903" t="s">
        <v>1028</v>
      </c>
      <c r="B183" s="903"/>
      <c r="C183" s="903"/>
      <c r="D183" s="903"/>
      <c r="E183" s="903"/>
      <c r="F183" s="903"/>
      <c r="G183" s="903"/>
      <c r="H183" s="903"/>
      <c r="I183" s="903"/>
      <c r="J183" s="903"/>
      <c r="K183" s="903"/>
      <c r="L183" s="903"/>
      <c r="M183" s="160"/>
    </row>
    <row r="184" spans="1:13" ht="12.75">
      <c r="A184" s="863" t="s">
        <v>637</v>
      </c>
      <c r="B184" s="863"/>
      <c r="C184" s="863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</row>
    <row r="185" spans="1:13" ht="12.75">
      <c r="A185" s="863"/>
      <c r="B185" s="863"/>
      <c r="C185" s="863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</row>
    <row r="186" spans="1:13" ht="12.75">
      <c r="A186" s="891"/>
      <c r="B186" s="891"/>
      <c r="C186" s="891"/>
      <c r="D186" s="891"/>
      <c r="E186" s="891"/>
      <c r="F186" s="891"/>
      <c r="G186" s="891"/>
      <c r="H186" s="891"/>
      <c r="I186" s="891"/>
      <c r="J186" s="891"/>
      <c r="K186" s="286"/>
      <c r="L186" s="286"/>
      <c r="M186" s="286"/>
    </row>
    <row r="187" spans="1:13" s="105" customFormat="1" ht="11.25" customHeight="1">
      <c r="A187" s="327"/>
      <c r="B187" s="327"/>
      <c r="C187" s="327"/>
      <c r="D187" s="327"/>
      <c r="E187" s="327"/>
      <c r="F187" s="327"/>
      <c r="G187" s="327"/>
      <c r="H187" s="327"/>
      <c r="I187" s="327"/>
      <c r="J187" s="327"/>
      <c r="K187" s="327"/>
      <c r="L187" s="327"/>
      <c r="M187" s="327"/>
    </row>
  </sheetData>
  <sheetProtection password="C236" sheet="1" objects="1" scenarios="1" formatColumns="0" selectLockedCells="1"/>
  <mergeCells count="19"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rintOptions horizontalCentered="1"/>
  <pageMargins left="0" right="0" top="0.5905511811023623" bottom="0.1968503937007874" header="0" footer="0"/>
  <pageSetup horizontalDpi="600" verticalDpi="600" orientation="landscape" paperSize="9" scale="80" r:id="rId1"/>
  <rowBreaks count="3" manualBreakCount="3">
    <brk id="52" max="255" man="1"/>
    <brk id="105" max="255" man="1"/>
    <brk id="1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="118" zoomScaleNormal="118" zoomScalePageLayoutView="0" workbookViewId="0" topLeftCell="A1">
      <selection activeCell="G19" sqref="G19"/>
    </sheetView>
  </sheetViews>
  <sheetFormatPr defaultColWidth="4.140625" defaultRowHeight="11.25" customHeight="1"/>
  <cols>
    <col min="1" max="1" width="42.140625" style="41" customWidth="1"/>
    <col min="2" max="3" width="8.8515625" style="41" bestFit="1" customWidth="1"/>
    <col min="4" max="7" width="7.8515625" style="41" bestFit="1" customWidth="1"/>
    <col min="8" max="8" width="7.8515625" style="42" bestFit="1" customWidth="1"/>
    <col min="9" max="10" width="7.8515625" style="41" bestFit="1" customWidth="1"/>
    <col min="11" max="11" width="7.8515625" style="41" customWidth="1"/>
    <col min="12" max="12" width="7.8515625" style="41" bestFit="1" customWidth="1"/>
    <col min="13" max="13" width="5.8515625" style="41" bestFit="1" customWidth="1"/>
    <col min="14" max="14" width="9.8515625" style="41" bestFit="1" customWidth="1"/>
    <col min="15" max="15" width="12.7109375" style="41" bestFit="1" customWidth="1"/>
    <col min="16" max="16384" width="4.140625" style="41" customWidth="1"/>
  </cols>
  <sheetData>
    <row r="1" ht="11.25" customHeight="1">
      <c r="A1" s="40" t="s">
        <v>124</v>
      </c>
    </row>
    <row r="2" ht="11.25" customHeight="1">
      <c r="A2" s="40"/>
    </row>
    <row r="3" spans="1:15" ht="11.25" customHeight="1">
      <c r="A3" s="883" t="str">
        <f>+'Informações Iniciais'!A1</f>
        <v>PODER EXECUTIVO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</row>
    <row r="4" spans="1:15" ht="11.25" customHeight="1">
      <c r="A4" s="884" t="s">
        <v>109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</row>
    <row r="5" spans="1:15" ht="11.25" customHeight="1">
      <c r="A5" s="885" t="s">
        <v>189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</row>
    <row r="6" spans="1:15" ht="11.25" customHeight="1">
      <c r="A6" s="886" t="s">
        <v>111</v>
      </c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</row>
    <row r="7" spans="1:15" ht="11.25" customHeight="1">
      <c r="A7" s="883" t="str">
        <f>+'Informações Iniciais'!A5</f>
        <v>5º Bimestre de 2016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</row>
    <row r="8" spans="1:15" ht="11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>
      <c r="A9" s="41" t="s">
        <v>435</v>
      </c>
      <c r="H9" s="44"/>
      <c r="O9" s="45" t="s">
        <v>519</v>
      </c>
    </row>
    <row r="10" spans="1:15" ht="15" customHeight="1">
      <c r="A10" s="894" t="s">
        <v>191</v>
      </c>
      <c r="B10" s="904" t="s">
        <v>190</v>
      </c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6"/>
      <c r="N10" s="910" t="s">
        <v>988</v>
      </c>
      <c r="O10" s="913" t="s">
        <v>281</v>
      </c>
    </row>
    <row r="11" spans="1:15" ht="15" customHeight="1">
      <c r="A11" s="915"/>
      <c r="B11" s="907"/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9"/>
      <c r="N11" s="911"/>
      <c r="O11" s="914"/>
    </row>
    <row r="12" spans="1:15" ht="15" customHeight="1">
      <c r="A12" s="909"/>
      <c r="B12" s="328" t="s">
        <v>1029</v>
      </c>
      <c r="C12" s="328" t="s">
        <v>1030</v>
      </c>
      <c r="D12" s="328" t="s">
        <v>1031</v>
      </c>
      <c r="E12" s="328" t="s">
        <v>1032</v>
      </c>
      <c r="F12" s="328" t="s">
        <v>1033</v>
      </c>
      <c r="G12" s="328" t="s">
        <v>1034</v>
      </c>
      <c r="H12" s="328" t="s">
        <v>1035</v>
      </c>
      <c r="I12" s="328" t="s">
        <v>1036</v>
      </c>
      <c r="J12" s="328" t="s">
        <v>1037</v>
      </c>
      <c r="K12" s="328" t="s">
        <v>1038</v>
      </c>
      <c r="L12" s="328" t="s">
        <v>1039</v>
      </c>
      <c r="M12" s="328" t="s">
        <v>1040</v>
      </c>
      <c r="N12" s="912"/>
      <c r="O12" s="329">
        <v>2016</v>
      </c>
    </row>
    <row r="13" spans="1:15" s="48" customFormat="1" ht="12.75">
      <c r="A13" s="46" t="s">
        <v>192</v>
      </c>
      <c r="B13" s="47">
        <f>+B14+B20+B21+B22+B23+B24+B25+B34</f>
        <v>1913691.7499999998</v>
      </c>
      <c r="C13" s="47">
        <f aca="true" t="shared" si="0" ref="C13:O13">+C14+C20+C21+C22+C23+C24+C25+C34</f>
        <v>2673278.8200000003</v>
      </c>
      <c r="D13" s="47">
        <f t="shared" si="0"/>
        <v>3084500.35</v>
      </c>
      <c r="E13" s="47">
        <f t="shared" si="0"/>
        <v>2534502.54</v>
      </c>
      <c r="F13" s="47">
        <f t="shared" si="0"/>
        <v>2078948.19</v>
      </c>
      <c r="G13" s="47">
        <f t="shared" si="0"/>
        <v>2522421.9799999995</v>
      </c>
      <c r="H13" s="47">
        <f t="shared" si="0"/>
        <v>2240516.8899999997</v>
      </c>
      <c r="I13" s="47">
        <f t="shared" si="0"/>
        <v>2216943.3799999994</v>
      </c>
      <c r="J13" s="47">
        <f t="shared" si="0"/>
        <v>1660900.0099999998</v>
      </c>
      <c r="K13" s="47">
        <f t="shared" si="0"/>
        <v>1482524.8499999999</v>
      </c>
      <c r="L13" s="47">
        <f t="shared" si="0"/>
        <v>1375987.3099999998</v>
      </c>
      <c r="M13" s="47">
        <f t="shared" si="0"/>
        <v>1615182.8399999999</v>
      </c>
      <c r="N13" s="47">
        <f>SUM(B13:M13)</f>
        <v>25399398.909999996</v>
      </c>
      <c r="O13" s="47">
        <f t="shared" si="0"/>
        <v>32645430</v>
      </c>
    </row>
    <row r="14" spans="1:15" ht="12.75">
      <c r="A14" s="49" t="s">
        <v>193</v>
      </c>
      <c r="B14" s="50">
        <f>SUM(B15:B19)</f>
        <v>291677.9</v>
      </c>
      <c r="C14" s="50">
        <f aca="true" t="shared" si="1" ref="C14:O14">SUM(C15:C19)</f>
        <v>661449.43</v>
      </c>
      <c r="D14" s="50">
        <f t="shared" si="1"/>
        <v>649715.2200000001</v>
      </c>
      <c r="E14" s="50">
        <f t="shared" si="1"/>
        <v>535787.78</v>
      </c>
      <c r="F14" s="50">
        <f t="shared" si="1"/>
        <v>601839.52</v>
      </c>
      <c r="G14" s="50">
        <f t="shared" si="1"/>
        <v>554785.26</v>
      </c>
      <c r="H14" s="50">
        <f t="shared" si="1"/>
        <v>369072.98</v>
      </c>
      <c r="I14" s="50">
        <f t="shared" si="1"/>
        <v>301976.42</v>
      </c>
      <c r="J14" s="50">
        <f t="shared" si="1"/>
        <v>22015.1</v>
      </c>
      <c r="K14" s="50">
        <f t="shared" si="1"/>
        <v>19000.19</v>
      </c>
      <c r="L14" s="50">
        <f t="shared" si="1"/>
        <v>261.24</v>
      </c>
      <c r="M14" s="50">
        <f t="shared" si="1"/>
        <v>150.46</v>
      </c>
      <c r="N14" s="50">
        <f aca="true" t="shared" si="2" ref="N14:N39">SUM(B14:M14)</f>
        <v>4007731.5000000005</v>
      </c>
      <c r="O14" s="50">
        <f t="shared" si="1"/>
        <v>4700650</v>
      </c>
    </row>
    <row r="15" spans="1:15" ht="12.75">
      <c r="A15" s="51" t="s">
        <v>841</v>
      </c>
      <c r="B15" s="330">
        <v>0</v>
      </c>
      <c r="C15" s="330">
        <v>0</v>
      </c>
      <c r="D15" s="330">
        <v>0</v>
      </c>
      <c r="E15" s="330">
        <v>0</v>
      </c>
      <c r="F15" s="330">
        <v>1071.5</v>
      </c>
      <c r="G15" s="330">
        <v>591.95</v>
      </c>
      <c r="H15" s="330">
        <v>100</v>
      </c>
      <c r="I15" s="330">
        <v>395.29</v>
      </c>
      <c r="J15" s="330">
        <v>0</v>
      </c>
      <c r="K15" s="330">
        <v>0</v>
      </c>
      <c r="L15" s="330">
        <v>0</v>
      </c>
      <c r="M15" s="330">
        <v>0</v>
      </c>
      <c r="N15" s="52">
        <f t="shared" si="2"/>
        <v>2158.7400000000002</v>
      </c>
      <c r="O15" s="330">
        <v>2090</v>
      </c>
    </row>
    <row r="16" spans="1:15" ht="12.75">
      <c r="A16" s="51" t="s">
        <v>842</v>
      </c>
      <c r="B16" s="330">
        <v>291658.94</v>
      </c>
      <c r="C16" s="330">
        <v>661437.43</v>
      </c>
      <c r="D16" s="330">
        <v>649663.68</v>
      </c>
      <c r="E16" s="330">
        <v>535787.78</v>
      </c>
      <c r="F16" s="330">
        <v>599860.96</v>
      </c>
      <c r="G16" s="330">
        <v>553532.31</v>
      </c>
      <c r="H16" s="330">
        <v>354901.6</v>
      </c>
      <c r="I16" s="330">
        <v>293417.51</v>
      </c>
      <c r="J16" s="330">
        <v>8729.48</v>
      </c>
      <c r="K16" s="330">
        <v>215.67</v>
      </c>
      <c r="L16" s="330">
        <v>261.24</v>
      </c>
      <c r="M16" s="330">
        <v>150.46</v>
      </c>
      <c r="N16" s="52">
        <f t="shared" si="2"/>
        <v>3949617.06</v>
      </c>
      <c r="O16" s="330">
        <v>4417455</v>
      </c>
    </row>
    <row r="17" spans="1:15" ht="12.75">
      <c r="A17" s="51" t="s">
        <v>843</v>
      </c>
      <c r="B17" s="330">
        <v>0</v>
      </c>
      <c r="C17" s="330">
        <v>0</v>
      </c>
      <c r="D17" s="330">
        <v>51.54</v>
      </c>
      <c r="E17" s="330">
        <v>0</v>
      </c>
      <c r="F17" s="330">
        <v>907.06</v>
      </c>
      <c r="G17" s="330">
        <v>661</v>
      </c>
      <c r="H17" s="330">
        <v>615</v>
      </c>
      <c r="I17" s="330">
        <v>163.75</v>
      </c>
      <c r="J17" s="330">
        <v>0</v>
      </c>
      <c r="K17" s="330">
        <v>1455.09</v>
      </c>
      <c r="L17" s="330">
        <v>0</v>
      </c>
      <c r="M17" s="330">
        <v>0</v>
      </c>
      <c r="N17" s="52">
        <f t="shared" si="2"/>
        <v>3853.4399999999996</v>
      </c>
      <c r="O17" s="330">
        <v>2090</v>
      </c>
    </row>
    <row r="18" spans="1:15" ht="12.75">
      <c r="A18" s="51" t="s">
        <v>624</v>
      </c>
      <c r="B18" s="330">
        <v>0</v>
      </c>
      <c r="C18" s="330">
        <v>0</v>
      </c>
      <c r="D18" s="330">
        <v>0</v>
      </c>
      <c r="E18" s="330">
        <v>0</v>
      </c>
      <c r="F18" s="330">
        <v>0</v>
      </c>
      <c r="G18" s="330">
        <v>0</v>
      </c>
      <c r="H18" s="330">
        <v>13456.38</v>
      </c>
      <c r="I18" s="330">
        <v>7990.62</v>
      </c>
      <c r="J18" s="330">
        <v>13285.62</v>
      </c>
      <c r="K18" s="330">
        <v>17329.43</v>
      </c>
      <c r="L18" s="330">
        <v>0</v>
      </c>
      <c r="M18" s="330">
        <v>0</v>
      </c>
      <c r="N18" s="52">
        <f t="shared" si="2"/>
        <v>52062.05</v>
      </c>
      <c r="O18" s="330">
        <v>261250</v>
      </c>
    </row>
    <row r="19" spans="1:15" ht="12.75">
      <c r="A19" s="51" t="s">
        <v>625</v>
      </c>
      <c r="B19" s="330">
        <v>18.96</v>
      </c>
      <c r="C19" s="330">
        <v>12</v>
      </c>
      <c r="D19" s="330">
        <v>0</v>
      </c>
      <c r="E19" s="330">
        <v>0</v>
      </c>
      <c r="F19" s="330">
        <v>0</v>
      </c>
      <c r="G19" s="330">
        <v>0</v>
      </c>
      <c r="H19" s="330">
        <v>0</v>
      </c>
      <c r="I19" s="330">
        <v>9.25</v>
      </c>
      <c r="J19" s="330">
        <v>0</v>
      </c>
      <c r="K19" s="330">
        <v>0</v>
      </c>
      <c r="L19" s="330">
        <v>0</v>
      </c>
      <c r="M19" s="330">
        <v>0</v>
      </c>
      <c r="N19" s="52">
        <f t="shared" si="2"/>
        <v>40.21</v>
      </c>
      <c r="O19" s="330">
        <v>17765</v>
      </c>
    </row>
    <row r="20" spans="1:15" ht="12.75">
      <c r="A20" s="49" t="s">
        <v>194</v>
      </c>
      <c r="B20" s="330">
        <v>22158.1</v>
      </c>
      <c r="C20" s="330">
        <v>28948.68</v>
      </c>
      <c r="D20" s="330">
        <v>0</v>
      </c>
      <c r="E20" s="330">
        <v>13419.73</v>
      </c>
      <c r="F20" s="330">
        <v>22963.75</v>
      </c>
      <c r="G20" s="330">
        <v>0</v>
      </c>
      <c r="H20" s="330">
        <v>71695.8</v>
      </c>
      <c r="I20" s="330">
        <v>0</v>
      </c>
      <c r="J20" s="330">
        <v>0</v>
      </c>
      <c r="K20" s="330">
        <v>0</v>
      </c>
      <c r="L20" s="330">
        <v>0</v>
      </c>
      <c r="M20" s="330">
        <v>0</v>
      </c>
      <c r="N20" s="50">
        <f t="shared" si="2"/>
        <v>159186.06</v>
      </c>
      <c r="O20" s="330">
        <v>252890</v>
      </c>
    </row>
    <row r="21" spans="1:15" ht="12.75">
      <c r="A21" s="49" t="s">
        <v>195</v>
      </c>
      <c r="B21" s="330">
        <v>1397.71</v>
      </c>
      <c r="C21" s="330">
        <v>1252.83</v>
      </c>
      <c r="D21" s="330">
        <v>1950.67</v>
      </c>
      <c r="E21" s="330">
        <v>6390.82</v>
      </c>
      <c r="F21" s="330">
        <v>5288.85</v>
      </c>
      <c r="G21" s="330">
        <v>2352.64</v>
      </c>
      <c r="H21" s="330">
        <v>2960.51</v>
      </c>
      <c r="I21" s="330">
        <v>1981.61</v>
      </c>
      <c r="J21" s="330">
        <v>907.12</v>
      </c>
      <c r="K21" s="330">
        <v>0</v>
      </c>
      <c r="L21" s="330">
        <v>0</v>
      </c>
      <c r="M21" s="330">
        <v>0</v>
      </c>
      <c r="N21" s="50">
        <f t="shared" si="2"/>
        <v>24482.76</v>
      </c>
      <c r="O21" s="330">
        <v>77330</v>
      </c>
    </row>
    <row r="22" spans="1:15" ht="12.75">
      <c r="A22" s="49" t="s">
        <v>196</v>
      </c>
      <c r="B22" s="330">
        <v>0</v>
      </c>
      <c r="C22" s="330">
        <v>0</v>
      </c>
      <c r="D22" s="330">
        <v>0</v>
      </c>
      <c r="E22" s="330">
        <v>0</v>
      </c>
      <c r="F22" s="330">
        <v>0</v>
      </c>
      <c r="G22" s="330">
        <v>0</v>
      </c>
      <c r="H22" s="330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0</v>
      </c>
      <c r="N22" s="50">
        <f t="shared" si="2"/>
        <v>0</v>
      </c>
      <c r="O22" s="330">
        <v>3135</v>
      </c>
    </row>
    <row r="23" spans="1:15" ht="12.75">
      <c r="A23" s="49" t="s">
        <v>197</v>
      </c>
      <c r="B23" s="330">
        <v>0</v>
      </c>
      <c r="C23" s="330">
        <v>0</v>
      </c>
      <c r="D23" s="330">
        <v>0</v>
      </c>
      <c r="E23" s="330">
        <v>0</v>
      </c>
      <c r="F23" s="330">
        <v>0</v>
      </c>
      <c r="G23" s="330">
        <v>0</v>
      </c>
      <c r="H23" s="330">
        <v>0</v>
      </c>
      <c r="I23" s="330">
        <v>0</v>
      </c>
      <c r="J23" s="330">
        <v>0</v>
      </c>
      <c r="K23" s="330">
        <v>0</v>
      </c>
      <c r="L23" s="330">
        <v>0</v>
      </c>
      <c r="M23" s="330">
        <v>0</v>
      </c>
      <c r="N23" s="50">
        <f t="shared" si="2"/>
        <v>0</v>
      </c>
      <c r="O23" s="330">
        <v>2090</v>
      </c>
    </row>
    <row r="24" spans="1:15" ht="12.75">
      <c r="A24" s="49" t="s">
        <v>201</v>
      </c>
      <c r="B24" s="330">
        <v>0</v>
      </c>
      <c r="C24" s="330">
        <v>0</v>
      </c>
      <c r="D24" s="330">
        <v>0</v>
      </c>
      <c r="E24" s="330">
        <v>0</v>
      </c>
      <c r="F24" s="330">
        <v>0</v>
      </c>
      <c r="G24" s="330">
        <v>0</v>
      </c>
      <c r="H24" s="330">
        <v>0</v>
      </c>
      <c r="I24" s="330">
        <v>0</v>
      </c>
      <c r="J24" s="330">
        <v>0</v>
      </c>
      <c r="K24" s="330">
        <v>0</v>
      </c>
      <c r="L24" s="330">
        <v>0</v>
      </c>
      <c r="M24" s="330">
        <v>0</v>
      </c>
      <c r="N24" s="50">
        <f t="shared" si="2"/>
        <v>0</v>
      </c>
      <c r="O24" s="330">
        <v>5225</v>
      </c>
    </row>
    <row r="25" spans="1:15" ht="12.75">
      <c r="A25" s="49" t="s">
        <v>198</v>
      </c>
      <c r="B25" s="50">
        <f>SUM(B26:B33)</f>
        <v>1598458.0399999998</v>
      </c>
      <c r="C25" s="50">
        <f aca="true" t="shared" si="3" ref="C25:O25">SUM(C26:C33)</f>
        <v>1981627.8800000001</v>
      </c>
      <c r="D25" s="50">
        <f t="shared" si="3"/>
        <v>2432834.46</v>
      </c>
      <c r="E25" s="50">
        <f t="shared" si="3"/>
        <v>1978904.21</v>
      </c>
      <c r="F25" s="50">
        <f t="shared" si="3"/>
        <v>1448856.07</v>
      </c>
      <c r="G25" s="50">
        <f t="shared" si="3"/>
        <v>1965284.0799999996</v>
      </c>
      <c r="H25" s="50">
        <f t="shared" si="3"/>
        <v>1796787.5999999999</v>
      </c>
      <c r="I25" s="50">
        <f t="shared" si="3"/>
        <v>1912985.3499999996</v>
      </c>
      <c r="J25" s="50">
        <f t="shared" si="3"/>
        <v>1637977.7899999998</v>
      </c>
      <c r="K25" s="50">
        <f t="shared" si="3"/>
        <v>1463524.66</v>
      </c>
      <c r="L25" s="50">
        <f t="shared" si="3"/>
        <v>1375726.0699999998</v>
      </c>
      <c r="M25" s="50">
        <f t="shared" si="3"/>
        <v>1615032.38</v>
      </c>
      <c r="N25" s="50">
        <f t="shared" si="2"/>
        <v>21207998.589999996</v>
      </c>
      <c r="O25" s="50">
        <f t="shared" si="3"/>
        <v>27597840</v>
      </c>
    </row>
    <row r="26" spans="1:15" ht="12.75">
      <c r="A26" s="51" t="s">
        <v>844</v>
      </c>
      <c r="B26" s="330">
        <v>648092.43</v>
      </c>
      <c r="C26" s="330">
        <v>1095881.59</v>
      </c>
      <c r="D26" s="330">
        <v>709057.99</v>
      </c>
      <c r="E26" s="330">
        <v>887638.08</v>
      </c>
      <c r="F26" s="330">
        <v>539167.89</v>
      </c>
      <c r="G26" s="330">
        <v>640954.83</v>
      </c>
      <c r="H26" s="330">
        <v>852315.2</v>
      </c>
      <c r="I26" s="330">
        <v>704150.45</v>
      </c>
      <c r="J26" s="330">
        <v>780809.35</v>
      </c>
      <c r="K26" s="330">
        <v>633112.25</v>
      </c>
      <c r="L26" s="330">
        <v>514846.74</v>
      </c>
      <c r="M26" s="330">
        <v>624969.89</v>
      </c>
      <c r="N26" s="52">
        <f t="shared" si="2"/>
        <v>8630996.69</v>
      </c>
      <c r="O26" s="330">
        <v>7715000</v>
      </c>
    </row>
    <row r="27" spans="1:15" ht="12.75">
      <c r="A27" s="51" t="s">
        <v>847</v>
      </c>
      <c r="B27" s="330">
        <v>125340.81</v>
      </c>
      <c r="C27" s="330">
        <v>114684.54</v>
      </c>
      <c r="D27" s="330">
        <v>222402.92</v>
      </c>
      <c r="E27" s="330">
        <v>205679.18</v>
      </c>
      <c r="F27" s="330">
        <v>171229.53</v>
      </c>
      <c r="G27" s="330">
        <v>203779.6</v>
      </c>
      <c r="H27" s="330">
        <v>189816.62</v>
      </c>
      <c r="I27" s="330">
        <v>233312.2</v>
      </c>
      <c r="J27" s="330">
        <v>228700.23</v>
      </c>
      <c r="K27" s="330">
        <v>194497</v>
      </c>
      <c r="L27" s="330">
        <v>237577.01</v>
      </c>
      <c r="M27" s="330">
        <v>224747.05</v>
      </c>
      <c r="N27" s="52">
        <f t="shared" si="2"/>
        <v>2351766.6899999995</v>
      </c>
      <c r="O27" s="330">
        <v>1439500</v>
      </c>
    </row>
    <row r="28" spans="1:15" ht="12.75">
      <c r="A28" s="51" t="s">
        <v>846</v>
      </c>
      <c r="B28" s="330">
        <v>4467.82</v>
      </c>
      <c r="C28" s="330">
        <v>5211.35</v>
      </c>
      <c r="D28" s="330">
        <v>9577.37</v>
      </c>
      <c r="E28" s="330">
        <v>16991.43</v>
      </c>
      <c r="F28" s="330">
        <v>11944.17</v>
      </c>
      <c r="G28" s="330">
        <v>28861.35</v>
      </c>
      <c r="H28" s="330">
        <v>16164.3</v>
      </c>
      <c r="I28" s="330">
        <v>0</v>
      </c>
      <c r="J28" s="330">
        <v>0</v>
      </c>
      <c r="K28" s="330">
        <v>0</v>
      </c>
      <c r="L28" s="330">
        <v>0</v>
      </c>
      <c r="M28" s="330">
        <v>0</v>
      </c>
      <c r="N28" s="52">
        <f t="shared" si="2"/>
        <v>93217.79</v>
      </c>
      <c r="O28" s="330">
        <v>196575</v>
      </c>
    </row>
    <row r="29" spans="1:15" ht="12.75">
      <c r="A29" s="51" t="s">
        <v>845</v>
      </c>
      <c r="B29" s="330">
        <v>1247.8</v>
      </c>
      <c r="C29" s="330">
        <v>369.23</v>
      </c>
      <c r="D29" s="330">
        <v>25.04</v>
      </c>
      <c r="E29" s="330">
        <v>0</v>
      </c>
      <c r="F29" s="330">
        <v>50.9</v>
      </c>
      <c r="G29" s="330">
        <v>38.04</v>
      </c>
      <c r="H29" s="330">
        <v>73.38</v>
      </c>
      <c r="I29" s="330">
        <v>43.64</v>
      </c>
      <c r="J29" s="330">
        <v>20.7</v>
      </c>
      <c r="K29" s="330">
        <v>690.7</v>
      </c>
      <c r="L29" s="330">
        <v>314</v>
      </c>
      <c r="M29" s="330">
        <v>114294.02</v>
      </c>
      <c r="N29" s="52">
        <f t="shared" si="2"/>
        <v>117167.45000000001</v>
      </c>
      <c r="O29" s="330">
        <v>3135</v>
      </c>
    </row>
    <row r="30" spans="1:15" ht="12.75">
      <c r="A30" s="51" t="s">
        <v>626</v>
      </c>
      <c r="B30" s="330">
        <v>784.84</v>
      </c>
      <c r="C30" s="330">
        <v>784.84</v>
      </c>
      <c r="D30" s="330">
        <v>1260.01</v>
      </c>
      <c r="E30" s="330">
        <v>1260.01</v>
      </c>
      <c r="F30" s="330">
        <v>1260.01</v>
      </c>
      <c r="G30" s="330">
        <v>1260.01</v>
      </c>
      <c r="H30" s="330">
        <v>1260.01</v>
      </c>
      <c r="I30" s="330">
        <v>1260.01</v>
      </c>
      <c r="J30" s="330">
        <v>1260.01</v>
      </c>
      <c r="K30" s="330">
        <v>1260.01</v>
      </c>
      <c r="L30" s="330">
        <v>1260.01</v>
      </c>
      <c r="M30" s="330">
        <v>1260.01</v>
      </c>
      <c r="N30" s="52">
        <f t="shared" si="2"/>
        <v>14169.78</v>
      </c>
      <c r="O30" s="330">
        <v>9405</v>
      </c>
    </row>
    <row r="31" spans="1:15" ht="12.75">
      <c r="A31" s="51" t="s">
        <v>627</v>
      </c>
      <c r="B31" s="330">
        <v>730.09</v>
      </c>
      <c r="C31" s="330">
        <v>720.92</v>
      </c>
      <c r="D31" s="330">
        <v>2121.5</v>
      </c>
      <c r="E31" s="330">
        <v>1638.41</v>
      </c>
      <c r="F31" s="330">
        <v>1599.6</v>
      </c>
      <c r="G31" s="330">
        <v>1641.32</v>
      </c>
      <c r="H31" s="330">
        <v>1863.86</v>
      </c>
      <c r="I31" s="330">
        <v>1109.09</v>
      </c>
      <c r="J31" s="330">
        <v>1506.93</v>
      </c>
      <c r="K31" s="330">
        <v>1522.75</v>
      </c>
      <c r="L31" s="330">
        <v>1667.49</v>
      </c>
      <c r="M31" s="330">
        <v>1762.46</v>
      </c>
      <c r="N31" s="52">
        <f t="shared" si="2"/>
        <v>17884.420000000002</v>
      </c>
      <c r="O31" s="330">
        <v>212250</v>
      </c>
    </row>
    <row r="32" spans="1:15" ht="12.75">
      <c r="A32" s="51" t="s">
        <v>628</v>
      </c>
      <c r="B32" s="330">
        <v>612483.55</v>
      </c>
      <c r="C32" s="330">
        <v>638645.73</v>
      </c>
      <c r="D32" s="330">
        <v>1270273.35</v>
      </c>
      <c r="E32" s="330">
        <v>732457.78</v>
      </c>
      <c r="F32" s="330">
        <v>591549.97</v>
      </c>
      <c r="G32" s="330">
        <v>642591.07</v>
      </c>
      <c r="H32" s="330">
        <v>591242.98</v>
      </c>
      <c r="I32" s="330">
        <v>965255.83</v>
      </c>
      <c r="J32" s="330">
        <v>610321.91</v>
      </c>
      <c r="K32" s="330">
        <v>625187.69</v>
      </c>
      <c r="L32" s="330">
        <v>613025.69</v>
      </c>
      <c r="M32" s="330">
        <v>640831.8</v>
      </c>
      <c r="N32" s="52">
        <f t="shared" si="2"/>
        <v>8533867.35</v>
      </c>
      <c r="O32" s="330">
        <v>8304615</v>
      </c>
    </row>
    <row r="33" spans="1:15" ht="12.75">
      <c r="A33" s="51" t="s">
        <v>629</v>
      </c>
      <c r="B33" s="330">
        <v>205310.7</v>
      </c>
      <c r="C33" s="330">
        <v>125329.68</v>
      </c>
      <c r="D33" s="330">
        <v>218116.28</v>
      </c>
      <c r="E33" s="330">
        <v>133239.32</v>
      </c>
      <c r="F33" s="330">
        <v>132054</v>
      </c>
      <c r="G33" s="330">
        <v>446157.86</v>
      </c>
      <c r="H33" s="330">
        <v>144051.25</v>
      </c>
      <c r="I33" s="330">
        <v>7854.13</v>
      </c>
      <c r="J33" s="330">
        <v>15358.66</v>
      </c>
      <c r="K33" s="330">
        <v>7254.26</v>
      </c>
      <c r="L33" s="330">
        <v>7035.13</v>
      </c>
      <c r="M33" s="330">
        <v>7167.15</v>
      </c>
      <c r="N33" s="52">
        <f t="shared" si="2"/>
        <v>1448928.4199999995</v>
      </c>
      <c r="O33" s="330">
        <v>9717360</v>
      </c>
    </row>
    <row r="34" spans="1:15" ht="12.75">
      <c r="A34" s="49" t="s">
        <v>199</v>
      </c>
      <c r="B34" s="330">
        <v>0</v>
      </c>
      <c r="C34" s="330">
        <v>0</v>
      </c>
      <c r="D34" s="330">
        <v>0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30">
        <v>0</v>
      </c>
      <c r="L34" s="330">
        <v>0</v>
      </c>
      <c r="M34" s="330">
        <v>0</v>
      </c>
      <c r="N34" s="50">
        <f t="shared" si="2"/>
        <v>0</v>
      </c>
      <c r="O34" s="330">
        <v>6270</v>
      </c>
    </row>
    <row r="35" spans="1:15" ht="12.75">
      <c r="A35" s="53" t="s">
        <v>200</v>
      </c>
      <c r="B35" s="54">
        <f>SUM(B36:B38)</f>
        <v>155093.11</v>
      </c>
      <c r="C35" s="54">
        <f aca="true" t="shared" si="4" ref="C35:O35">SUM(C36:C38)</f>
        <v>172214.04</v>
      </c>
      <c r="D35" s="54">
        <f t="shared" si="4"/>
        <v>186549.13</v>
      </c>
      <c r="E35" s="54">
        <f t="shared" si="4"/>
        <v>218915.4</v>
      </c>
      <c r="F35" s="54">
        <f t="shared" si="4"/>
        <v>142341.61</v>
      </c>
      <c r="G35" s="54">
        <f t="shared" si="4"/>
        <v>169206.41</v>
      </c>
      <c r="H35" s="54">
        <f t="shared" si="4"/>
        <v>208693</v>
      </c>
      <c r="I35" s="54">
        <f t="shared" si="4"/>
        <v>187753.2</v>
      </c>
      <c r="J35" s="54">
        <f t="shared" si="4"/>
        <v>148099.59</v>
      </c>
      <c r="K35" s="54">
        <f t="shared" si="4"/>
        <v>165911.95</v>
      </c>
      <c r="L35" s="54">
        <f t="shared" si="4"/>
        <v>150799.51</v>
      </c>
      <c r="M35" s="54">
        <f t="shared" si="4"/>
        <v>193054.14</v>
      </c>
      <c r="N35" s="54">
        <f t="shared" si="2"/>
        <v>2098631.0900000003</v>
      </c>
      <c r="O35" s="54">
        <f t="shared" si="4"/>
        <v>1915173</v>
      </c>
    </row>
    <row r="36" spans="1:15" ht="12.75">
      <c r="A36" s="51" t="s">
        <v>436</v>
      </c>
      <c r="B36" s="330">
        <v>0</v>
      </c>
      <c r="C36" s="330">
        <v>0</v>
      </c>
      <c r="D36" s="330">
        <v>0</v>
      </c>
      <c r="E36" s="330">
        <v>0</v>
      </c>
      <c r="F36" s="330">
        <v>0</v>
      </c>
      <c r="G36" s="330">
        <v>0</v>
      </c>
      <c r="H36" s="330">
        <v>0</v>
      </c>
      <c r="I36" s="330">
        <v>0</v>
      </c>
      <c r="J36" s="330">
        <v>0</v>
      </c>
      <c r="K36" s="330">
        <v>0</v>
      </c>
      <c r="L36" s="330">
        <v>0</v>
      </c>
      <c r="M36" s="330">
        <v>0</v>
      </c>
      <c r="N36" s="52">
        <f t="shared" si="2"/>
        <v>0</v>
      </c>
      <c r="O36" s="330">
        <v>0</v>
      </c>
    </row>
    <row r="37" spans="1:15" ht="12.75">
      <c r="A37" s="51" t="s">
        <v>261</v>
      </c>
      <c r="B37" s="330">
        <v>0</v>
      </c>
      <c r="C37" s="330">
        <v>0</v>
      </c>
      <c r="D37" s="330">
        <v>0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30">
        <v>0</v>
      </c>
      <c r="K37" s="330">
        <v>0</v>
      </c>
      <c r="L37" s="330">
        <v>0</v>
      </c>
      <c r="M37" s="330">
        <v>0</v>
      </c>
      <c r="N37" s="52">
        <f t="shared" si="2"/>
        <v>0</v>
      </c>
      <c r="O37" s="330">
        <v>0</v>
      </c>
    </row>
    <row r="38" spans="1:15" ht="12.75">
      <c r="A38" s="51" t="s">
        <v>264</v>
      </c>
      <c r="B38" s="330">
        <v>155093.11</v>
      </c>
      <c r="C38" s="330">
        <v>172214.04</v>
      </c>
      <c r="D38" s="330">
        <v>186549.13</v>
      </c>
      <c r="E38" s="330">
        <v>218915.4</v>
      </c>
      <c r="F38" s="330">
        <v>142341.61</v>
      </c>
      <c r="G38" s="330">
        <v>169206.41</v>
      </c>
      <c r="H38" s="330">
        <v>208693</v>
      </c>
      <c r="I38" s="330">
        <v>187753.2</v>
      </c>
      <c r="J38" s="330">
        <v>148099.59</v>
      </c>
      <c r="K38" s="330">
        <v>165911.95</v>
      </c>
      <c r="L38" s="330">
        <v>150799.51</v>
      </c>
      <c r="M38" s="330">
        <v>193054.14</v>
      </c>
      <c r="N38" s="52">
        <f t="shared" si="2"/>
        <v>2098631.0900000003</v>
      </c>
      <c r="O38" s="330">
        <v>1915173</v>
      </c>
    </row>
    <row r="39" spans="1:15" ht="12.75">
      <c r="A39" s="55" t="s">
        <v>276</v>
      </c>
      <c r="B39" s="56">
        <f>+B13-B35</f>
        <v>1758598.6399999997</v>
      </c>
      <c r="C39" s="56">
        <f aca="true" t="shared" si="5" ref="C39:M39">+C13-C35</f>
        <v>2501064.7800000003</v>
      </c>
      <c r="D39" s="56">
        <f t="shared" si="5"/>
        <v>2897951.22</v>
      </c>
      <c r="E39" s="56">
        <f t="shared" si="5"/>
        <v>2315587.14</v>
      </c>
      <c r="F39" s="56">
        <f t="shared" si="5"/>
        <v>1936606.58</v>
      </c>
      <c r="G39" s="56">
        <f t="shared" si="5"/>
        <v>2353215.5699999994</v>
      </c>
      <c r="H39" s="56">
        <f t="shared" si="5"/>
        <v>2031823.8899999997</v>
      </c>
      <c r="I39" s="56">
        <f t="shared" si="5"/>
        <v>2029190.1799999995</v>
      </c>
      <c r="J39" s="56">
        <f t="shared" si="5"/>
        <v>1512800.4199999997</v>
      </c>
      <c r="K39" s="56">
        <f t="shared" si="5"/>
        <v>1316612.9</v>
      </c>
      <c r="L39" s="56">
        <f t="shared" si="5"/>
        <v>1225187.7999999998</v>
      </c>
      <c r="M39" s="56">
        <f t="shared" si="5"/>
        <v>1422128.6999999997</v>
      </c>
      <c r="N39" s="56">
        <f t="shared" si="2"/>
        <v>23300767.819999997</v>
      </c>
      <c r="O39" s="56">
        <f>+O13-O35</f>
        <v>30730257</v>
      </c>
    </row>
    <row r="40" spans="1:15" ht="12.75">
      <c r="A40" s="903" t="s">
        <v>518</v>
      </c>
      <c r="B40" s="903"/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</row>
    <row r="41" spans="1:15" ht="12.75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ht="12.75"/>
    <row r="43" ht="12.75"/>
    <row r="44" ht="12.75"/>
    <row r="45" ht="12.75"/>
    <row r="46" ht="12.75"/>
    <row r="47" ht="12.75"/>
    <row r="48" ht="12.75"/>
    <row r="49" spans="1:15" s="48" customFormat="1" ht="12.75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ht="12.75"/>
    <row r="51" spans="1:15" s="42" customFormat="1" ht="12.75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ht="12.75"/>
    <row r="53" ht="12.75"/>
    <row r="54" ht="12.75"/>
    <row r="55" ht="12.75"/>
    <row r="56" ht="12.75"/>
    <row r="57" ht="12.75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121"/>
  <sheetViews>
    <sheetView showGridLines="0" zoomScale="105" zoomScaleNormal="105" zoomScalePageLayoutView="0" workbookViewId="0" topLeftCell="A1">
      <selection activeCell="B18" sqref="B18:E18"/>
    </sheetView>
  </sheetViews>
  <sheetFormatPr defaultColWidth="4.140625" defaultRowHeight="11.25" customHeight="1"/>
  <cols>
    <col min="1" max="1" width="69.57421875" style="71" customWidth="1"/>
    <col min="2" max="5" width="8.28125" style="71" customWidth="1"/>
    <col min="6" max="6" width="13.28125" style="71" customWidth="1"/>
    <col min="7" max="11" width="12.7109375" style="71" customWidth="1"/>
    <col min="12" max="20" width="4.140625" style="71" customWidth="1"/>
    <col min="21" max="21" width="24.00390625" style="71" customWidth="1"/>
    <col min="22" max="29" width="4.140625" style="71" customWidth="1"/>
    <col min="30" max="30" width="12.28125" style="71" bestFit="1" customWidth="1"/>
    <col min="31" max="156" width="4.140625" style="71" customWidth="1"/>
    <col min="157" max="157" width="16.140625" style="71" customWidth="1"/>
    <col min="158" max="16384" width="4.140625" style="71" customWidth="1"/>
  </cols>
  <sheetData>
    <row r="1" ht="11.25" customHeight="1">
      <c r="A1" s="40" t="s">
        <v>438</v>
      </c>
    </row>
    <row r="2" ht="11.25" customHeight="1">
      <c r="A2" s="40"/>
    </row>
    <row r="3" spans="1:6" ht="12.75">
      <c r="A3" s="883" t="str">
        <f>+'Informações Iniciais'!A1</f>
        <v>PODER EXECUTIVO</v>
      </c>
      <c r="B3" s="883"/>
      <c r="C3" s="883"/>
      <c r="D3" s="883"/>
      <c r="E3" s="883"/>
      <c r="F3" s="883"/>
    </row>
    <row r="4" spans="1:6" ht="12.75">
      <c r="A4" s="884" t="s">
        <v>109</v>
      </c>
      <c r="B4" s="884"/>
      <c r="C4" s="884"/>
      <c r="D4" s="884"/>
      <c r="E4" s="884"/>
      <c r="F4" s="884"/>
    </row>
    <row r="5" spans="1:6" ht="12.75">
      <c r="A5" s="992" t="s">
        <v>133</v>
      </c>
      <c r="B5" s="992"/>
      <c r="C5" s="992"/>
      <c r="D5" s="992"/>
      <c r="E5" s="992"/>
      <c r="F5" s="992"/>
    </row>
    <row r="6" spans="1:6" ht="12.75">
      <c r="A6" s="884" t="s">
        <v>202</v>
      </c>
      <c r="B6" s="884"/>
      <c r="C6" s="884"/>
      <c r="D6" s="884"/>
      <c r="E6" s="884"/>
      <c r="F6" s="884"/>
    </row>
    <row r="7" spans="1:6" ht="12.75">
      <c r="A7" s="883" t="str">
        <f>+'Informações Iniciais'!A5</f>
        <v>5º Bimestre de 2016</v>
      </c>
      <c r="B7" s="883"/>
      <c r="C7" s="883"/>
      <c r="D7" s="883"/>
      <c r="E7" s="883"/>
      <c r="F7" s="883"/>
    </row>
    <row r="8" spans="1:6" ht="11.25" customHeight="1">
      <c r="A8" s="72"/>
      <c r="B8" s="72"/>
      <c r="C8" s="72"/>
      <c r="D8" s="72"/>
      <c r="E8" s="72"/>
      <c r="F8" s="72"/>
    </row>
    <row r="9" spans="1:11" ht="12.75">
      <c r="A9" s="71" t="s">
        <v>437</v>
      </c>
      <c r="E9" s="44"/>
      <c r="J9" s="331"/>
      <c r="K9" s="44" t="s">
        <v>519</v>
      </c>
    </row>
    <row r="10" spans="1:11" ht="12.75" customHeight="1">
      <c r="A10" s="73"/>
      <c r="B10" s="892" t="s">
        <v>635</v>
      </c>
      <c r="C10" s="893"/>
      <c r="D10" s="893"/>
      <c r="E10" s="893"/>
      <c r="F10" s="963" t="s">
        <v>281</v>
      </c>
      <c r="G10" s="964"/>
      <c r="H10" s="961" t="s">
        <v>113</v>
      </c>
      <c r="I10" s="986"/>
      <c r="J10" s="986"/>
      <c r="K10" s="962"/>
    </row>
    <row r="11" spans="1:11" ht="12.75" customHeight="1">
      <c r="A11" s="74" t="s">
        <v>114</v>
      </c>
      <c r="B11" s="958"/>
      <c r="C11" s="969"/>
      <c r="D11" s="969"/>
      <c r="E11" s="969"/>
      <c r="F11" s="965"/>
      <c r="G11" s="966"/>
      <c r="H11" s="892" t="s">
        <v>240</v>
      </c>
      <c r="I11" s="894"/>
      <c r="J11" s="892" t="s">
        <v>240</v>
      </c>
      <c r="K11" s="894"/>
    </row>
    <row r="12" spans="1:157" ht="12.75" customHeight="1">
      <c r="A12" s="75"/>
      <c r="B12" s="907"/>
      <c r="C12" s="908"/>
      <c r="D12" s="908"/>
      <c r="E12" s="908"/>
      <c r="F12" s="967"/>
      <c r="G12" s="968"/>
      <c r="H12" s="1003" t="s">
        <v>241</v>
      </c>
      <c r="I12" s="1004"/>
      <c r="J12" s="967" t="str">
        <f>IF(FA12=FALSE,"&lt;Exercício Anterior&gt;",H12-1)</f>
        <v>&lt;Exercício Anterior&gt;</v>
      </c>
      <c r="K12" s="968"/>
      <c r="FA12" s="76" t="b">
        <f>ISNUMBER(H12)</f>
        <v>0</v>
      </c>
    </row>
    <row r="13" spans="1:11" ht="12.75">
      <c r="A13" s="42" t="s">
        <v>373</v>
      </c>
      <c r="B13" s="956">
        <f>+B14+B33</f>
        <v>0</v>
      </c>
      <c r="C13" s="993"/>
      <c r="D13" s="993"/>
      <c r="E13" s="957"/>
      <c r="F13" s="956">
        <f>+F14+F33</f>
        <v>0</v>
      </c>
      <c r="G13" s="957"/>
      <c r="H13" s="956">
        <f>+H14+H33</f>
        <v>0</v>
      </c>
      <c r="I13" s="957"/>
      <c r="J13" s="956">
        <f>+J14+J33</f>
        <v>0</v>
      </c>
      <c r="K13" s="957"/>
    </row>
    <row r="14" spans="1:11" ht="12.75">
      <c r="A14" s="77" t="s">
        <v>11</v>
      </c>
      <c r="B14" s="928">
        <f>+B15+B24+B25+B29+B30</f>
        <v>0</v>
      </c>
      <c r="C14" s="955"/>
      <c r="D14" s="955"/>
      <c r="E14" s="929"/>
      <c r="F14" s="928">
        <f>+F15+F24+F25+F29+F30</f>
        <v>0</v>
      </c>
      <c r="G14" s="929"/>
      <c r="H14" s="928">
        <f>+H15+H24+H25+H29+H30</f>
        <v>0</v>
      </c>
      <c r="I14" s="929"/>
      <c r="J14" s="928">
        <f>+J15+J24+J25+J29+J30</f>
        <v>0</v>
      </c>
      <c r="K14" s="929"/>
    </row>
    <row r="15" spans="1:11" ht="12.75">
      <c r="A15" s="78" t="s">
        <v>134</v>
      </c>
      <c r="B15" s="930">
        <f>+B16+B20</f>
        <v>0</v>
      </c>
      <c r="C15" s="931"/>
      <c r="D15" s="931"/>
      <c r="E15" s="932"/>
      <c r="F15" s="930">
        <f>+F16+F20</f>
        <v>0</v>
      </c>
      <c r="G15" s="932"/>
      <c r="H15" s="930">
        <f>+H16+H20</f>
        <v>0</v>
      </c>
      <c r="I15" s="932"/>
      <c r="J15" s="930">
        <f>+J16+J20</f>
        <v>0</v>
      </c>
      <c r="K15" s="932"/>
    </row>
    <row r="16" spans="1:11" ht="12.75">
      <c r="A16" s="79" t="s">
        <v>374</v>
      </c>
      <c r="B16" s="925">
        <f>SUM(B17:E19)</f>
        <v>0</v>
      </c>
      <c r="C16" s="926"/>
      <c r="D16" s="926"/>
      <c r="E16" s="927"/>
      <c r="F16" s="925">
        <f>SUM(F17:G19)</f>
        <v>0</v>
      </c>
      <c r="G16" s="927"/>
      <c r="H16" s="925">
        <f>SUM(H17:I19)</f>
        <v>0</v>
      </c>
      <c r="I16" s="927"/>
      <c r="J16" s="925">
        <f>SUM(J17:K19)</f>
        <v>0</v>
      </c>
      <c r="K16" s="927"/>
    </row>
    <row r="17" spans="1:11" ht="12.75">
      <c r="A17" s="41" t="s">
        <v>135</v>
      </c>
      <c r="B17" s="917">
        <v>0</v>
      </c>
      <c r="C17" s="918"/>
      <c r="D17" s="918"/>
      <c r="E17" s="919"/>
      <c r="F17" s="917">
        <v>0</v>
      </c>
      <c r="G17" s="919"/>
      <c r="H17" s="920">
        <v>0</v>
      </c>
      <c r="I17" s="921"/>
      <c r="J17" s="920">
        <v>0</v>
      </c>
      <c r="K17" s="921"/>
    </row>
    <row r="18" spans="1:11" ht="12.75">
      <c r="A18" s="41" t="s">
        <v>136</v>
      </c>
      <c r="B18" s="917">
        <v>0</v>
      </c>
      <c r="C18" s="918"/>
      <c r="D18" s="918"/>
      <c r="E18" s="919"/>
      <c r="F18" s="917">
        <v>0</v>
      </c>
      <c r="G18" s="919"/>
      <c r="H18" s="920">
        <v>0</v>
      </c>
      <c r="I18" s="921"/>
      <c r="J18" s="920">
        <v>0</v>
      </c>
      <c r="K18" s="921"/>
    </row>
    <row r="19" spans="1:11" ht="12.75">
      <c r="A19" s="41" t="s">
        <v>137</v>
      </c>
      <c r="B19" s="917">
        <v>0</v>
      </c>
      <c r="C19" s="918"/>
      <c r="D19" s="918"/>
      <c r="E19" s="919"/>
      <c r="F19" s="917">
        <v>0</v>
      </c>
      <c r="G19" s="919"/>
      <c r="H19" s="920">
        <v>0</v>
      </c>
      <c r="I19" s="921"/>
      <c r="J19" s="920">
        <v>0</v>
      </c>
      <c r="K19" s="921"/>
    </row>
    <row r="20" spans="1:11" ht="12.75">
      <c r="A20" s="79" t="s">
        <v>375</v>
      </c>
      <c r="B20" s="925">
        <f>SUM(B21:E23)</f>
        <v>0</v>
      </c>
      <c r="C20" s="926"/>
      <c r="D20" s="926"/>
      <c r="E20" s="927"/>
      <c r="F20" s="925">
        <f>SUM(F21:G23)</f>
        <v>0</v>
      </c>
      <c r="G20" s="927"/>
      <c r="H20" s="925">
        <f>SUM(H21:I23)</f>
        <v>0</v>
      </c>
      <c r="I20" s="927"/>
      <c r="J20" s="925">
        <f>SUM(J21:K23)</f>
        <v>0</v>
      </c>
      <c r="K20" s="927"/>
    </row>
    <row r="21" spans="1:11" ht="12.75">
      <c r="A21" s="41" t="s">
        <v>138</v>
      </c>
      <c r="B21" s="917">
        <v>0</v>
      </c>
      <c r="C21" s="918"/>
      <c r="D21" s="918"/>
      <c r="E21" s="919"/>
      <c r="F21" s="917">
        <v>0</v>
      </c>
      <c r="G21" s="919"/>
      <c r="H21" s="920">
        <v>0</v>
      </c>
      <c r="I21" s="921"/>
      <c r="J21" s="920">
        <v>0</v>
      </c>
      <c r="K21" s="921"/>
    </row>
    <row r="22" spans="1:11" ht="12.75">
      <c r="A22" s="41" t="s">
        <v>139</v>
      </c>
      <c r="B22" s="917">
        <v>0</v>
      </c>
      <c r="C22" s="918"/>
      <c r="D22" s="918"/>
      <c r="E22" s="919"/>
      <c r="F22" s="917">
        <v>0</v>
      </c>
      <c r="G22" s="919"/>
      <c r="H22" s="920">
        <v>0</v>
      </c>
      <c r="I22" s="921"/>
      <c r="J22" s="920">
        <v>0</v>
      </c>
      <c r="K22" s="921"/>
    </row>
    <row r="23" spans="1:11" ht="12.75">
      <c r="A23" s="41" t="s">
        <v>137</v>
      </c>
      <c r="B23" s="917">
        <v>0</v>
      </c>
      <c r="C23" s="918"/>
      <c r="D23" s="918"/>
      <c r="E23" s="919"/>
      <c r="F23" s="917">
        <v>0</v>
      </c>
      <c r="G23" s="919"/>
      <c r="H23" s="920">
        <v>0</v>
      </c>
      <c r="I23" s="921"/>
      <c r="J23" s="920">
        <v>0</v>
      </c>
      <c r="K23" s="921"/>
    </row>
    <row r="24" spans="1:11" ht="12.75">
      <c r="A24" s="78" t="s">
        <v>174</v>
      </c>
      <c r="B24" s="917">
        <v>0</v>
      </c>
      <c r="C24" s="918"/>
      <c r="D24" s="918"/>
      <c r="E24" s="919"/>
      <c r="F24" s="917">
        <v>0</v>
      </c>
      <c r="G24" s="919"/>
      <c r="H24" s="920">
        <v>0</v>
      </c>
      <c r="I24" s="921"/>
      <c r="J24" s="920">
        <v>0</v>
      </c>
      <c r="K24" s="921"/>
    </row>
    <row r="25" spans="1:11" ht="12.75">
      <c r="A25" s="78" t="s">
        <v>402</v>
      </c>
      <c r="B25" s="930">
        <f>SUM(B26:E28)</f>
        <v>0</v>
      </c>
      <c r="C25" s="931"/>
      <c r="D25" s="931"/>
      <c r="E25" s="932"/>
      <c r="F25" s="930">
        <f>SUM(F26:G28)</f>
        <v>0</v>
      </c>
      <c r="G25" s="932"/>
      <c r="H25" s="930">
        <f>SUM(H26:I28)</f>
        <v>0</v>
      </c>
      <c r="I25" s="932"/>
      <c r="J25" s="930">
        <f>SUM(J26:K28)</f>
        <v>0</v>
      </c>
      <c r="K25" s="932"/>
    </row>
    <row r="26" spans="1:11" ht="12.75">
      <c r="A26" s="41" t="s">
        <v>19</v>
      </c>
      <c r="B26" s="917">
        <v>0</v>
      </c>
      <c r="C26" s="918"/>
      <c r="D26" s="918"/>
      <c r="E26" s="919"/>
      <c r="F26" s="917">
        <v>0</v>
      </c>
      <c r="G26" s="919"/>
      <c r="H26" s="920">
        <v>0</v>
      </c>
      <c r="I26" s="921"/>
      <c r="J26" s="920">
        <v>0</v>
      </c>
      <c r="K26" s="921"/>
    </row>
    <row r="27" spans="1:11" ht="12.75">
      <c r="A27" s="41" t="s">
        <v>20</v>
      </c>
      <c r="B27" s="917">
        <v>0</v>
      </c>
      <c r="C27" s="918"/>
      <c r="D27" s="918"/>
      <c r="E27" s="919"/>
      <c r="F27" s="917">
        <v>0</v>
      </c>
      <c r="G27" s="919"/>
      <c r="H27" s="920">
        <v>0</v>
      </c>
      <c r="I27" s="921"/>
      <c r="J27" s="920">
        <v>0</v>
      </c>
      <c r="K27" s="921"/>
    </row>
    <row r="28" spans="1:11" ht="12.75">
      <c r="A28" s="41" t="s">
        <v>22</v>
      </c>
      <c r="B28" s="917">
        <v>0</v>
      </c>
      <c r="C28" s="918"/>
      <c r="D28" s="918"/>
      <c r="E28" s="919"/>
      <c r="F28" s="917">
        <v>0</v>
      </c>
      <c r="G28" s="919"/>
      <c r="H28" s="920">
        <v>0</v>
      </c>
      <c r="I28" s="921"/>
      <c r="J28" s="920">
        <v>0</v>
      </c>
      <c r="K28" s="921"/>
    </row>
    <row r="29" spans="1:11" ht="12.75">
      <c r="A29" s="78" t="s">
        <v>265</v>
      </c>
      <c r="B29" s="917">
        <v>0</v>
      </c>
      <c r="C29" s="918"/>
      <c r="D29" s="918"/>
      <c r="E29" s="919"/>
      <c r="F29" s="917">
        <v>0</v>
      </c>
      <c r="G29" s="919"/>
      <c r="H29" s="920">
        <v>0</v>
      </c>
      <c r="I29" s="921"/>
      <c r="J29" s="920">
        <v>0</v>
      </c>
      <c r="K29" s="921"/>
    </row>
    <row r="30" spans="1:11" ht="12.75">
      <c r="A30" s="78" t="s">
        <v>376</v>
      </c>
      <c r="B30" s="930">
        <f>SUM(B31:E32)</f>
        <v>0</v>
      </c>
      <c r="C30" s="931"/>
      <c r="D30" s="931"/>
      <c r="E30" s="932"/>
      <c r="F30" s="930">
        <f>SUM(F31:G32)</f>
        <v>0</v>
      </c>
      <c r="G30" s="932"/>
      <c r="H30" s="930">
        <f>SUM(H31:I32)</f>
        <v>0</v>
      </c>
      <c r="I30" s="932"/>
      <c r="J30" s="930">
        <f>SUM(J31:K32)</f>
        <v>0</v>
      </c>
      <c r="K30" s="932"/>
    </row>
    <row r="31" spans="1:11" ht="12.75">
      <c r="A31" s="41" t="s">
        <v>266</v>
      </c>
      <c r="B31" s="917">
        <v>0</v>
      </c>
      <c r="C31" s="918"/>
      <c r="D31" s="918"/>
      <c r="E31" s="919"/>
      <c r="F31" s="917">
        <v>0</v>
      </c>
      <c r="G31" s="919"/>
      <c r="H31" s="920">
        <v>0</v>
      </c>
      <c r="I31" s="921"/>
      <c r="J31" s="920">
        <v>0</v>
      </c>
      <c r="K31" s="921"/>
    </row>
    <row r="32" spans="1:11" ht="12.75">
      <c r="A32" s="41" t="s">
        <v>140</v>
      </c>
      <c r="B32" s="917">
        <v>0</v>
      </c>
      <c r="C32" s="918"/>
      <c r="D32" s="918"/>
      <c r="E32" s="919"/>
      <c r="F32" s="917">
        <v>0</v>
      </c>
      <c r="G32" s="919"/>
      <c r="H32" s="920">
        <v>0</v>
      </c>
      <c r="I32" s="921"/>
      <c r="J32" s="920">
        <v>0</v>
      </c>
      <c r="K32" s="921"/>
    </row>
    <row r="33" spans="1:11" ht="12.75">
      <c r="A33" s="80" t="s">
        <v>43</v>
      </c>
      <c r="B33" s="928">
        <f>SUM(B34:E36)</f>
        <v>0</v>
      </c>
      <c r="C33" s="955"/>
      <c r="D33" s="955"/>
      <c r="E33" s="929"/>
      <c r="F33" s="928">
        <f>SUM(F34:G36)</f>
        <v>0</v>
      </c>
      <c r="G33" s="929"/>
      <c r="H33" s="928">
        <f>SUM(H34:I36)</f>
        <v>0</v>
      </c>
      <c r="I33" s="929"/>
      <c r="J33" s="928">
        <f>SUM(J34:K36)</f>
        <v>0</v>
      </c>
      <c r="K33" s="929"/>
    </row>
    <row r="34" spans="1:11" ht="12.75">
      <c r="A34" s="41" t="s">
        <v>127</v>
      </c>
      <c r="B34" s="917">
        <v>0</v>
      </c>
      <c r="C34" s="918"/>
      <c r="D34" s="918"/>
      <c r="E34" s="919"/>
      <c r="F34" s="917">
        <v>0</v>
      </c>
      <c r="G34" s="919"/>
      <c r="H34" s="920">
        <v>0</v>
      </c>
      <c r="I34" s="921"/>
      <c r="J34" s="920">
        <v>0</v>
      </c>
      <c r="K34" s="921"/>
    </row>
    <row r="35" spans="1:11" ht="12.75">
      <c r="A35" s="41" t="s">
        <v>267</v>
      </c>
      <c r="B35" s="917">
        <v>0</v>
      </c>
      <c r="C35" s="918"/>
      <c r="D35" s="918"/>
      <c r="E35" s="919"/>
      <c r="F35" s="917">
        <v>0</v>
      </c>
      <c r="G35" s="919"/>
      <c r="H35" s="920">
        <v>0</v>
      </c>
      <c r="I35" s="921"/>
      <c r="J35" s="920">
        <v>0</v>
      </c>
      <c r="K35" s="921"/>
    </row>
    <row r="36" spans="1:11" ht="12.75">
      <c r="A36" s="41" t="s">
        <v>377</v>
      </c>
      <c r="B36" s="917">
        <v>0</v>
      </c>
      <c r="C36" s="918"/>
      <c r="D36" s="918"/>
      <c r="E36" s="919"/>
      <c r="F36" s="917">
        <v>0</v>
      </c>
      <c r="G36" s="919"/>
      <c r="H36" s="920">
        <v>0</v>
      </c>
      <c r="I36" s="921"/>
      <c r="J36" s="920">
        <v>0</v>
      </c>
      <c r="K36" s="921"/>
    </row>
    <row r="37" spans="1:11" ht="12.75">
      <c r="A37" s="81" t="s">
        <v>270</v>
      </c>
      <c r="B37" s="917">
        <v>0</v>
      </c>
      <c r="C37" s="918"/>
      <c r="D37" s="918"/>
      <c r="E37" s="919"/>
      <c r="F37" s="917">
        <v>0</v>
      </c>
      <c r="G37" s="919"/>
      <c r="H37" s="920">
        <v>0</v>
      </c>
      <c r="I37" s="921"/>
      <c r="J37" s="920">
        <v>0</v>
      </c>
      <c r="K37" s="921"/>
    </row>
    <row r="38" spans="1:11" ht="12.75">
      <c r="A38" s="82" t="s">
        <v>141</v>
      </c>
      <c r="B38" s="952">
        <f>+B13+B37</f>
        <v>0</v>
      </c>
      <c r="C38" s="953"/>
      <c r="D38" s="953"/>
      <c r="E38" s="954"/>
      <c r="F38" s="950">
        <f>+F13+F37</f>
        <v>0</v>
      </c>
      <c r="G38" s="951"/>
      <c r="H38" s="950">
        <f>+H13+H37</f>
        <v>0</v>
      </c>
      <c r="I38" s="951"/>
      <c r="J38" s="950">
        <f>+J13+J37</f>
        <v>0</v>
      </c>
      <c r="K38" s="951"/>
    </row>
    <row r="39" spans="2:6" ht="12.75">
      <c r="B39" s="83"/>
      <c r="C39" s="83"/>
      <c r="D39" s="83"/>
      <c r="E39" s="83"/>
      <c r="F39" s="84"/>
    </row>
    <row r="40" spans="1:11" ht="44.25" customHeight="1">
      <c r="A40" s="85"/>
      <c r="B40" s="963" t="s">
        <v>822</v>
      </c>
      <c r="C40" s="964"/>
      <c r="D40" s="997" t="s">
        <v>283</v>
      </c>
      <c r="E40" s="998"/>
      <c r="F40" s="961" t="s">
        <v>176</v>
      </c>
      <c r="G40" s="962"/>
      <c r="H40" s="961" t="s">
        <v>177</v>
      </c>
      <c r="I40" s="962"/>
      <c r="J40" s="961" t="s">
        <v>414</v>
      </c>
      <c r="K40" s="962"/>
    </row>
    <row r="41" spans="1:11" ht="17.25" customHeight="1">
      <c r="A41" s="86" t="s">
        <v>178</v>
      </c>
      <c r="B41" s="965"/>
      <c r="C41" s="966"/>
      <c r="D41" s="999"/>
      <c r="E41" s="1000"/>
      <c r="F41" s="211" t="s">
        <v>240</v>
      </c>
      <c r="G41" s="211" t="s">
        <v>240</v>
      </c>
      <c r="H41" s="211" t="s">
        <v>240</v>
      </c>
      <c r="I41" s="211" t="s">
        <v>240</v>
      </c>
      <c r="J41" s="216" t="s">
        <v>989</v>
      </c>
      <c r="K41" s="216" t="s">
        <v>989</v>
      </c>
    </row>
    <row r="42" spans="1:11" ht="25.5">
      <c r="A42" s="87"/>
      <c r="B42" s="967"/>
      <c r="C42" s="968"/>
      <c r="D42" s="1001"/>
      <c r="E42" s="1002"/>
      <c r="F42" s="210" t="str">
        <f>+$H$12</f>
        <v>&lt;Exercício&gt;</v>
      </c>
      <c r="G42" s="210" t="str">
        <f>+$J$12</f>
        <v>&lt;Exercício Anterior&gt;</v>
      </c>
      <c r="H42" s="210" t="str">
        <f>+$H$12</f>
        <v>&lt;Exercício&gt;</v>
      </c>
      <c r="I42" s="210" t="str">
        <f>+$J$12</f>
        <v>&lt;Exercício Anterior&gt;</v>
      </c>
      <c r="J42" s="210" t="str">
        <f>+$H$12</f>
        <v>&lt;Exercício&gt;</v>
      </c>
      <c r="K42" s="215" t="str">
        <f>+$J$12</f>
        <v>&lt;Exercício Anterior&gt;</v>
      </c>
    </row>
    <row r="43" spans="1:11" ht="12.75">
      <c r="A43" s="88" t="s">
        <v>142</v>
      </c>
      <c r="B43" s="946">
        <f>+B44+B47</f>
        <v>0</v>
      </c>
      <c r="C43" s="947"/>
      <c r="D43" s="946">
        <f>+D44+D47</f>
        <v>0</v>
      </c>
      <c r="E43" s="947"/>
      <c r="F43" s="89">
        <f aca="true" t="shared" si="0" ref="F43:K43">+F44+F47</f>
        <v>0</v>
      </c>
      <c r="G43" s="89">
        <f t="shared" si="0"/>
        <v>0</v>
      </c>
      <c r="H43" s="89">
        <f t="shared" si="0"/>
        <v>0</v>
      </c>
      <c r="I43" s="89">
        <f t="shared" si="0"/>
        <v>0</v>
      </c>
      <c r="J43" s="89">
        <f t="shared" si="0"/>
        <v>0</v>
      </c>
      <c r="K43" s="90">
        <f t="shared" si="0"/>
        <v>0</v>
      </c>
    </row>
    <row r="44" spans="1:11" ht="12.75">
      <c r="A44" s="91" t="s">
        <v>348</v>
      </c>
      <c r="B44" s="948">
        <f>SUM(B45:C46)</f>
        <v>0</v>
      </c>
      <c r="C44" s="949"/>
      <c r="D44" s="948">
        <f>SUM(D45:E46)</f>
        <v>0</v>
      </c>
      <c r="E44" s="949"/>
      <c r="F44" s="92">
        <f aca="true" t="shared" si="1" ref="F44:K44">SUM(F45:G46)</f>
        <v>0</v>
      </c>
      <c r="G44" s="92">
        <f t="shared" si="1"/>
        <v>0</v>
      </c>
      <c r="H44" s="92">
        <f t="shared" si="1"/>
        <v>0</v>
      </c>
      <c r="I44" s="92">
        <f t="shared" si="1"/>
        <v>0</v>
      </c>
      <c r="J44" s="92">
        <f t="shared" si="1"/>
        <v>0</v>
      </c>
      <c r="K44" s="92">
        <f t="shared" si="1"/>
        <v>0</v>
      </c>
    </row>
    <row r="45" spans="1:11" ht="12.75">
      <c r="A45" s="93" t="s">
        <v>378</v>
      </c>
      <c r="B45" s="944">
        <v>0</v>
      </c>
      <c r="C45" s="945"/>
      <c r="D45" s="944">
        <v>0</v>
      </c>
      <c r="E45" s="945"/>
      <c r="F45" s="332">
        <v>0</v>
      </c>
      <c r="G45" s="332">
        <v>0</v>
      </c>
      <c r="H45" s="332">
        <v>0</v>
      </c>
      <c r="I45" s="332">
        <v>0</v>
      </c>
      <c r="J45" s="332">
        <v>0</v>
      </c>
      <c r="K45" s="332">
        <v>0</v>
      </c>
    </row>
    <row r="46" spans="1:11" ht="12.75">
      <c r="A46" s="93" t="s">
        <v>379</v>
      </c>
      <c r="B46" s="944">
        <v>0</v>
      </c>
      <c r="C46" s="945"/>
      <c r="D46" s="944">
        <v>0</v>
      </c>
      <c r="E46" s="945"/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</row>
    <row r="47" spans="1:11" ht="12.75">
      <c r="A47" s="94" t="s">
        <v>143</v>
      </c>
      <c r="B47" s="948">
        <f>+B48+B52+B56</f>
        <v>0</v>
      </c>
      <c r="C47" s="949"/>
      <c r="D47" s="948">
        <f>+D48+D52+D56</f>
        <v>0</v>
      </c>
      <c r="E47" s="949"/>
      <c r="F47" s="95">
        <f aca="true" t="shared" si="2" ref="F47:K47">+F48+F52+F56</f>
        <v>0</v>
      </c>
      <c r="G47" s="95">
        <f t="shared" si="2"/>
        <v>0</v>
      </c>
      <c r="H47" s="95">
        <f t="shared" si="2"/>
        <v>0</v>
      </c>
      <c r="I47" s="95">
        <f t="shared" si="2"/>
        <v>0</v>
      </c>
      <c r="J47" s="95">
        <f t="shared" si="2"/>
        <v>0</v>
      </c>
      <c r="K47" s="92">
        <f t="shared" si="2"/>
        <v>0</v>
      </c>
    </row>
    <row r="48" spans="1:11" ht="12.75">
      <c r="A48" s="96" t="s">
        <v>242</v>
      </c>
      <c r="B48" s="933">
        <f>SUM(B49:C51)</f>
        <v>0</v>
      </c>
      <c r="C48" s="935"/>
      <c r="D48" s="933">
        <f>SUM(D49:E51)</f>
        <v>0</v>
      </c>
      <c r="E48" s="935"/>
      <c r="F48" s="97">
        <f aca="true" t="shared" si="3" ref="F48:K48">SUM(F49:G51)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8">
        <f t="shared" si="3"/>
        <v>0</v>
      </c>
    </row>
    <row r="49" spans="1:11" ht="12.75">
      <c r="A49" s="93" t="s">
        <v>380</v>
      </c>
      <c r="B49" s="944">
        <v>0</v>
      </c>
      <c r="C49" s="945"/>
      <c r="D49" s="944">
        <v>0</v>
      </c>
      <c r="E49" s="945"/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2">
        <v>0</v>
      </c>
    </row>
    <row r="50" spans="1:11" ht="12.75">
      <c r="A50" s="93" t="s">
        <v>381</v>
      </c>
      <c r="B50" s="944">
        <v>0</v>
      </c>
      <c r="C50" s="945"/>
      <c r="D50" s="944">
        <v>0</v>
      </c>
      <c r="E50" s="945"/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2">
        <v>0</v>
      </c>
    </row>
    <row r="51" spans="1:11" ht="12.75">
      <c r="A51" s="93" t="s">
        <v>382</v>
      </c>
      <c r="B51" s="944">
        <v>0</v>
      </c>
      <c r="C51" s="945"/>
      <c r="D51" s="944">
        <v>0</v>
      </c>
      <c r="E51" s="945"/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2">
        <v>0</v>
      </c>
    </row>
    <row r="52" spans="1:11" ht="12.75">
      <c r="A52" s="96" t="s">
        <v>243</v>
      </c>
      <c r="B52" s="933">
        <f>SUM(B53:C55)</f>
        <v>0</v>
      </c>
      <c r="C52" s="935"/>
      <c r="D52" s="933">
        <f>SUM(D53:E55)</f>
        <v>0</v>
      </c>
      <c r="E52" s="935"/>
      <c r="F52" s="97">
        <f aca="true" t="shared" si="4" ref="F52:K52">SUM(F53:G55)</f>
        <v>0</v>
      </c>
      <c r="G52" s="97">
        <f t="shared" si="4"/>
        <v>0</v>
      </c>
      <c r="H52" s="97">
        <f t="shared" si="4"/>
        <v>0</v>
      </c>
      <c r="I52" s="97">
        <f t="shared" si="4"/>
        <v>0</v>
      </c>
      <c r="J52" s="97">
        <f t="shared" si="4"/>
        <v>0</v>
      </c>
      <c r="K52" s="98">
        <f t="shared" si="4"/>
        <v>0</v>
      </c>
    </row>
    <row r="53" spans="1:11" ht="12.75">
      <c r="A53" s="93" t="s">
        <v>383</v>
      </c>
      <c r="B53" s="944">
        <v>0</v>
      </c>
      <c r="C53" s="945"/>
      <c r="D53" s="944">
        <v>0</v>
      </c>
      <c r="E53" s="945"/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2">
        <v>0</v>
      </c>
    </row>
    <row r="54" spans="1:11" ht="12.75">
      <c r="A54" s="93" t="s">
        <v>381</v>
      </c>
      <c r="B54" s="944">
        <v>0</v>
      </c>
      <c r="C54" s="945"/>
      <c r="D54" s="944">
        <v>0</v>
      </c>
      <c r="E54" s="945"/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2">
        <v>0</v>
      </c>
    </row>
    <row r="55" spans="1:11" ht="12.75">
      <c r="A55" s="93" t="s">
        <v>382</v>
      </c>
      <c r="B55" s="944">
        <v>0</v>
      </c>
      <c r="C55" s="945"/>
      <c r="D55" s="944">
        <v>0</v>
      </c>
      <c r="E55" s="945"/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2">
        <v>0</v>
      </c>
    </row>
    <row r="56" spans="1:11" ht="12.75">
      <c r="A56" s="96" t="s">
        <v>384</v>
      </c>
      <c r="B56" s="933">
        <f>SUM(B57:C58)</f>
        <v>0</v>
      </c>
      <c r="C56" s="935"/>
      <c r="D56" s="933">
        <f>SUM(D57:E58)</f>
        <v>0</v>
      </c>
      <c r="E56" s="935"/>
      <c r="F56" s="97">
        <f aca="true" t="shared" si="5" ref="F56:K56">SUM(F57:G58)</f>
        <v>0</v>
      </c>
      <c r="G56" s="97">
        <f t="shared" si="5"/>
        <v>0</v>
      </c>
      <c r="H56" s="97">
        <f t="shared" si="5"/>
        <v>0</v>
      </c>
      <c r="I56" s="97">
        <f t="shared" si="5"/>
        <v>0</v>
      </c>
      <c r="J56" s="97">
        <f t="shared" si="5"/>
        <v>0</v>
      </c>
      <c r="K56" s="98">
        <f t="shared" si="5"/>
        <v>0</v>
      </c>
    </row>
    <row r="57" spans="1:11" ht="12.75">
      <c r="A57" s="93" t="s">
        <v>268</v>
      </c>
      <c r="B57" s="944">
        <v>0</v>
      </c>
      <c r="C57" s="945"/>
      <c r="D57" s="944">
        <v>0</v>
      </c>
      <c r="E57" s="945"/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2">
        <v>0</v>
      </c>
    </row>
    <row r="58" spans="1:11" ht="12.75">
      <c r="A58" s="93" t="s">
        <v>63</v>
      </c>
      <c r="B58" s="944">
        <v>0</v>
      </c>
      <c r="C58" s="945"/>
      <c r="D58" s="944">
        <v>0</v>
      </c>
      <c r="E58" s="945"/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2">
        <v>0</v>
      </c>
    </row>
    <row r="59" spans="1:11" ht="12.75">
      <c r="A59" s="99" t="s">
        <v>144</v>
      </c>
      <c r="B59" s="942">
        <v>0</v>
      </c>
      <c r="C59" s="943"/>
      <c r="D59" s="942">
        <v>0</v>
      </c>
      <c r="E59" s="943"/>
      <c r="F59" s="334">
        <v>0</v>
      </c>
      <c r="G59" s="334">
        <v>0</v>
      </c>
      <c r="H59" s="334">
        <v>0</v>
      </c>
      <c r="I59" s="334">
        <v>0</v>
      </c>
      <c r="J59" s="334">
        <v>0</v>
      </c>
      <c r="K59" s="335">
        <v>0</v>
      </c>
    </row>
    <row r="60" spans="1:11" ht="12.75">
      <c r="A60" s="100" t="s">
        <v>145</v>
      </c>
      <c r="B60" s="982">
        <f>+B43+B59</f>
        <v>0</v>
      </c>
      <c r="C60" s="983"/>
      <c r="D60" s="982">
        <f>+D43+D59</f>
        <v>0</v>
      </c>
      <c r="E60" s="983"/>
      <c r="F60" s="101">
        <f aca="true" t="shared" si="6" ref="F60:K60">+F43+F59</f>
        <v>0</v>
      </c>
      <c r="G60" s="101">
        <f t="shared" si="6"/>
        <v>0</v>
      </c>
      <c r="H60" s="101">
        <f t="shared" si="6"/>
        <v>0</v>
      </c>
      <c r="I60" s="101">
        <f t="shared" si="6"/>
        <v>0</v>
      </c>
      <c r="J60" s="101">
        <f t="shared" si="6"/>
        <v>0</v>
      </c>
      <c r="K60" s="101">
        <f t="shared" si="6"/>
        <v>0</v>
      </c>
    </row>
    <row r="61" spans="1:6" s="105" customFormat="1" ht="12.75">
      <c r="A61" s="102"/>
      <c r="B61" s="103"/>
      <c r="C61" s="103"/>
      <c r="D61" s="104"/>
      <c r="E61" s="104"/>
      <c r="F61" s="104"/>
    </row>
    <row r="62" spans="1:19" ht="12.75">
      <c r="A62" s="106" t="s">
        <v>146</v>
      </c>
      <c r="B62" s="982">
        <f>+B38-B60</f>
        <v>0</v>
      </c>
      <c r="C62" s="983"/>
      <c r="D62" s="990">
        <f>+F38-D60</f>
        <v>0</v>
      </c>
      <c r="E62" s="991"/>
      <c r="F62" s="107">
        <f>+H38-F60</f>
        <v>0</v>
      </c>
      <c r="G62" s="101">
        <f>+J38-G60</f>
        <v>0</v>
      </c>
      <c r="H62" s="101">
        <f>+H38-H60</f>
        <v>0</v>
      </c>
      <c r="I62" s="101">
        <f>+J38-I60</f>
        <v>0</v>
      </c>
      <c r="J62" s="108"/>
      <c r="K62" s="108"/>
      <c r="L62" s="109"/>
      <c r="M62" s="109"/>
      <c r="N62" s="109"/>
      <c r="O62" s="109"/>
      <c r="P62" s="109"/>
      <c r="Q62" s="109"/>
      <c r="R62" s="109"/>
      <c r="S62" s="109"/>
    </row>
    <row r="63" spans="1:6" ht="12.75">
      <c r="A63" s="105"/>
      <c r="B63" s="110"/>
      <c r="C63" s="111"/>
      <c r="D63" s="111"/>
      <c r="E63" s="111"/>
      <c r="F63" s="111"/>
    </row>
    <row r="64" spans="1:11" ht="12.75" customHeight="1">
      <c r="A64" s="888" t="s">
        <v>155</v>
      </c>
      <c r="B64" s="892" t="s">
        <v>644</v>
      </c>
      <c r="C64" s="893"/>
      <c r="D64" s="893"/>
      <c r="E64" s="893"/>
      <c r="F64" s="893"/>
      <c r="G64" s="893"/>
      <c r="H64" s="893"/>
      <c r="I64" s="893"/>
      <c r="J64" s="893"/>
      <c r="K64" s="894"/>
    </row>
    <row r="65" spans="1:11" ht="12.75">
      <c r="A65" s="889"/>
      <c r="B65" s="958"/>
      <c r="C65" s="969"/>
      <c r="D65" s="969"/>
      <c r="E65" s="969"/>
      <c r="F65" s="969"/>
      <c r="G65" s="969"/>
      <c r="H65" s="969"/>
      <c r="I65" s="969"/>
      <c r="J65" s="969"/>
      <c r="K65" s="915"/>
    </row>
    <row r="66" spans="1:11" ht="12.75">
      <c r="A66" s="890"/>
      <c r="B66" s="907"/>
      <c r="C66" s="908"/>
      <c r="D66" s="908"/>
      <c r="E66" s="908"/>
      <c r="F66" s="908"/>
      <c r="G66" s="908"/>
      <c r="H66" s="908"/>
      <c r="I66" s="908"/>
      <c r="J66" s="908"/>
      <c r="K66" s="909"/>
    </row>
    <row r="67" spans="1:11" ht="12.75">
      <c r="A67" s="112" t="s">
        <v>147</v>
      </c>
      <c r="B67" s="936">
        <f>+B68+B72</f>
        <v>0</v>
      </c>
      <c r="C67" s="937"/>
      <c r="D67" s="937"/>
      <c r="E67" s="937"/>
      <c r="F67" s="937"/>
      <c r="G67" s="937"/>
      <c r="H67" s="937"/>
      <c r="I67" s="937"/>
      <c r="J67" s="937"/>
      <c r="K67" s="938"/>
    </row>
    <row r="68" spans="1:11" ht="12.75">
      <c r="A68" s="113" t="s">
        <v>148</v>
      </c>
      <c r="B68" s="933">
        <f>SUM(B69:C71)</f>
        <v>0</v>
      </c>
      <c r="C68" s="934"/>
      <c r="D68" s="934"/>
      <c r="E68" s="934"/>
      <c r="F68" s="934"/>
      <c r="G68" s="934"/>
      <c r="H68" s="934"/>
      <c r="I68" s="934"/>
      <c r="J68" s="934"/>
      <c r="K68" s="935"/>
    </row>
    <row r="69" spans="1:11" ht="12.75">
      <c r="A69" s="112" t="s">
        <v>149</v>
      </c>
      <c r="B69" s="939">
        <v>0</v>
      </c>
      <c r="C69" s="940"/>
      <c r="D69" s="940"/>
      <c r="E69" s="940"/>
      <c r="F69" s="940"/>
      <c r="G69" s="940"/>
      <c r="H69" s="940"/>
      <c r="I69" s="940"/>
      <c r="J69" s="940"/>
      <c r="K69" s="941"/>
    </row>
    <row r="70" spans="1:11" ht="12.75">
      <c r="A70" s="112" t="s">
        <v>150</v>
      </c>
      <c r="B70" s="939">
        <v>0</v>
      </c>
      <c r="C70" s="940"/>
      <c r="D70" s="940"/>
      <c r="E70" s="940"/>
      <c r="F70" s="940"/>
      <c r="G70" s="940"/>
      <c r="H70" s="940"/>
      <c r="I70" s="940"/>
      <c r="J70" s="940"/>
      <c r="K70" s="941"/>
    </row>
    <row r="71" spans="1:11" ht="12.75">
      <c r="A71" s="112" t="s">
        <v>151</v>
      </c>
      <c r="B71" s="939">
        <v>0</v>
      </c>
      <c r="C71" s="940"/>
      <c r="D71" s="940"/>
      <c r="E71" s="940"/>
      <c r="F71" s="940"/>
      <c r="G71" s="940"/>
      <c r="H71" s="940"/>
      <c r="I71" s="940"/>
      <c r="J71" s="940"/>
      <c r="K71" s="941"/>
    </row>
    <row r="72" spans="1:11" ht="12.75">
      <c r="A72" s="113" t="s">
        <v>152</v>
      </c>
      <c r="B72" s="933">
        <f>SUM(B73:C75)</f>
        <v>0</v>
      </c>
      <c r="C72" s="934"/>
      <c r="D72" s="934"/>
      <c r="E72" s="934"/>
      <c r="F72" s="934"/>
      <c r="G72" s="934"/>
      <c r="H72" s="934"/>
      <c r="I72" s="934"/>
      <c r="J72" s="934"/>
      <c r="K72" s="935"/>
    </row>
    <row r="73" spans="1:11" ht="12.75">
      <c r="A73" s="112" t="s">
        <v>153</v>
      </c>
      <c r="B73" s="939">
        <v>0</v>
      </c>
      <c r="C73" s="940"/>
      <c r="D73" s="940"/>
      <c r="E73" s="940"/>
      <c r="F73" s="940"/>
      <c r="G73" s="940"/>
      <c r="H73" s="940"/>
      <c r="I73" s="940"/>
      <c r="J73" s="940"/>
      <c r="K73" s="941"/>
    </row>
    <row r="74" spans="1:11" ht="12.75">
      <c r="A74" s="112" t="s">
        <v>154</v>
      </c>
      <c r="B74" s="939">
        <v>0</v>
      </c>
      <c r="C74" s="940"/>
      <c r="D74" s="940"/>
      <c r="E74" s="940"/>
      <c r="F74" s="940"/>
      <c r="G74" s="940"/>
      <c r="H74" s="940"/>
      <c r="I74" s="940"/>
      <c r="J74" s="940"/>
      <c r="K74" s="941"/>
    </row>
    <row r="75" spans="1:11" ht="12.75">
      <c r="A75" s="114" t="s">
        <v>151</v>
      </c>
      <c r="B75" s="973">
        <v>0</v>
      </c>
      <c r="C75" s="974"/>
      <c r="D75" s="974"/>
      <c r="E75" s="974"/>
      <c r="F75" s="974"/>
      <c r="G75" s="974"/>
      <c r="H75" s="974"/>
      <c r="I75" s="974"/>
      <c r="J75" s="974"/>
      <c r="K75" s="975"/>
    </row>
    <row r="76" spans="1:6" ht="12.75">
      <c r="A76" s="105"/>
      <c r="B76" s="110"/>
      <c r="C76" s="111"/>
      <c r="D76" s="111"/>
      <c r="E76" s="111"/>
      <c r="F76" s="111"/>
    </row>
    <row r="77" spans="1:11" ht="12.75" customHeight="1">
      <c r="A77" s="115" t="s">
        <v>156</v>
      </c>
      <c r="B77" s="855" t="s">
        <v>128</v>
      </c>
      <c r="C77" s="856"/>
      <c r="D77" s="856"/>
      <c r="E77" s="856"/>
      <c r="F77" s="856"/>
      <c r="G77" s="856"/>
      <c r="H77" s="856"/>
      <c r="I77" s="856"/>
      <c r="J77" s="856"/>
      <c r="K77" s="857"/>
    </row>
    <row r="78" spans="1:11" ht="12.75">
      <c r="A78" s="116" t="s">
        <v>251</v>
      </c>
      <c r="B78" s="979"/>
      <c r="C78" s="980"/>
      <c r="D78" s="980"/>
      <c r="E78" s="980"/>
      <c r="F78" s="980"/>
      <c r="G78" s="980"/>
      <c r="H78" s="980"/>
      <c r="I78" s="980"/>
      <c r="J78" s="980"/>
      <c r="K78" s="981"/>
    </row>
    <row r="79" spans="1:7" ht="12.75">
      <c r="A79" s="117"/>
      <c r="B79" s="117"/>
      <c r="C79" s="117"/>
      <c r="D79" s="117"/>
      <c r="E79" s="117"/>
      <c r="F79" s="117"/>
      <c r="G79" s="105"/>
    </row>
    <row r="80" spans="1:11" ht="12.75" customHeight="1">
      <c r="A80" s="984" t="s">
        <v>860</v>
      </c>
      <c r="B80" s="987" t="s">
        <v>250</v>
      </c>
      <c r="C80" s="988"/>
      <c r="D80" s="988"/>
      <c r="E80" s="988"/>
      <c r="F80" s="988"/>
      <c r="G80" s="988"/>
      <c r="H80" s="988"/>
      <c r="I80" s="988"/>
      <c r="J80" s="988"/>
      <c r="K80" s="989"/>
    </row>
    <row r="81" spans="1:11" ht="12.75" customHeight="1">
      <c r="A81" s="985"/>
      <c r="B81" s="961" t="str">
        <f>+F42</f>
        <v>&lt;Exercício&gt;</v>
      </c>
      <c r="C81" s="986"/>
      <c r="D81" s="986"/>
      <c r="E81" s="986"/>
      <c r="F81" s="986"/>
      <c r="G81" s="962"/>
      <c r="H81" s="961" t="str">
        <f>+G42</f>
        <v>&lt;Exercício Anterior&gt;</v>
      </c>
      <c r="I81" s="986"/>
      <c r="J81" s="986"/>
      <c r="K81" s="962"/>
    </row>
    <row r="82" spans="1:11" ht="12.75">
      <c r="A82" s="118" t="s">
        <v>129</v>
      </c>
      <c r="B82" s="994"/>
      <c r="C82" s="995"/>
      <c r="D82" s="995"/>
      <c r="E82" s="995"/>
      <c r="F82" s="995"/>
      <c r="G82" s="996"/>
      <c r="H82" s="970"/>
      <c r="I82" s="971"/>
      <c r="J82" s="971"/>
      <c r="K82" s="972"/>
    </row>
    <row r="83" spans="1:11" ht="12.75">
      <c r="A83" s="119" t="s">
        <v>130</v>
      </c>
      <c r="B83" s="917">
        <v>0</v>
      </c>
      <c r="C83" s="918"/>
      <c r="D83" s="918"/>
      <c r="E83" s="918"/>
      <c r="F83" s="918"/>
      <c r="G83" s="919"/>
      <c r="H83" s="939">
        <v>0</v>
      </c>
      <c r="I83" s="940"/>
      <c r="J83" s="940"/>
      <c r="K83" s="941"/>
    </row>
    <row r="84" spans="1:11" ht="12.75">
      <c r="A84" s="119" t="s">
        <v>131</v>
      </c>
      <c r="B84" s="917">
        <v>0</v>
      </c>
      <c r="C84" s="918"/>
      <c r="D84" s="918"/>
      <c r="E84" s="918"/>
      <c r="F84" s="918"/>
      <c r="G84" s="919"/>
      <c r="H84" s="939">
        <v>0</v>
      </c>
      <c r="I84" s="940"/>
      <c r="J84" s="940"/>
      <c r="K84" s="941"/>
    </row>
    <row r="85" spans="1:11" ht="12.75">
      <c r="A85" s="120" t="s">
        <v>132</v>
      </c>
      <c r="B85" s="976">
        <v>0</v>
      </c>
      <c r="C85" s="977"/>
      <c r="D85" s="977"/>
      <c r="E85" s="977"/>
      <c r="F85" s="977"/>
      <c r="G85" s="978"/>
      <c r="H85" s="973">
        <v>0</v>
      </c>
      <c r="I85" s="974"/>
      <c r="J85" s="974"/>
      <c r="K85" s="975"/>
    </row>
    <row r="86" spans="1:6" s="105" customFormat="1" ht="12.75">
      <c r="A86" s="121"/>
      <c r="B86" s="122"/>
      <c r="C86" s="122"/>
      <c r="D86" s="81"/>
      <c r="E86" s="81"/>
      <c r="F86" s="81"/>
    </row>
    <row r="87" spans="1:11" ht="12.75" customHeight="1">
      <c r="A87" s="73"/>
      <c r="B87" s="892" t="s">
        <v>635</v>
      </c>
      <c r="C87" s="893"/>
      <c r="D87" s="893"/>
      <c r="E87" s="893"/>
      <c r="F87" s="963" t="s">
        <v>281</v>
      </c>
      <c r="G87" s="964"/>
      <c r="H87" s="961" t="s">
        <v>113</v>
      </c>
      <c r="I87" s="986"/>
      <c r="J87" s="986"/>
      <c r="K87" s="962"/>
    </row>
    <row r="88" spans="1:11" ht="12.75">
      <c r="A88" s="74" t="s">
        <v>157</v>
      </c>
      <c r="B88" s="958"/>
      <c r="C88" s="969"/>
      <c r="D88" s="969"/>
      <c r="E88" s="969"/>
      <c r="F88" s="965"/>
      <c r="G88" s="966"/>
      <c r="H88" s="892" t="s">
        <v>240</v>
      </c>
      <c r="I88" s="894"/>
      <c r="J88" s="892" t="s">
        <v>240</v>
      </c>
      <c r="K88" s="894"/>
    </row>
    <row r="89" spans="1:11" ht="12.75">
      <c r="A89" s="75"/>
      <c r="B89" s="907"/>
      <c r="C89" s="908"/>
      <c r="D89" s="908"/>
      <c r="E89" s="908"/>
      <c r="F89" s="967"/>
      <c r="G89" s="968"/>
      <c r="H89" s="967" t="str">
        <f>+F42</f>
        <v>&lt;Exercício&gt;</v>
      </c>
      <c r="I89" s="968"/>
      <c r="J89" s="907" t="str">
        <f>+G42</f>
        <v>&lt;Exercício Anterior&gt;</v>
      </c>
      <c r="K89" s="909"/>
    </row>
    <row r="90" spans="1:11" ht="12.75">
      <c r="A90" s="42" t="s">
        <v>161</v>
      </c>
      <c r="B90" s="922">
        <f>SUM(B91,B103:E105)</f>
        <v>0</v>
      </c>
      <c r="C90" s="923"/>
      <c r="D90" s="923"/>
      <c r="E90" s="924"/>
      <c r="F90" s="922">
        <f>SUM(F91,F103:G105)</f>
        <v>0</v>
      </c>
      <c r="G90" s="924"/>
      <c r="H90" s="922">
        <f>SUM(H91,H103:I105)</f>
        <v>0</v>
      </c>
      <c r="I90" s="924"/>
      <c r="J90" s="922">
        <f>SUM(J91,J103:K105)</f>
        <v>0</v>
      </c>
      <c r="K90" s="924"/>
    </row>
    <row r="91" spans="1:11" ht="12.75">
      <c r="A91" s="80" t="s">
        <v>194</v>
      </c>
      <c r="B91" s="928">
        <f>+B92+B101+B102</f>
        <v>0</v>
      </c>
      <c r="C91" s="955"/>
      <c r="D91" s="955"/>
      <c r="E91" s="929"/>
      <c r="F91" s="928">
        <f>+F92+F101+F102</f>
        <v>0</v>
      </c>
      <c r="G91" s="929"/>
      <c r="H91" s="928">
        <f>+H92+H101+H102</f>
        <v>0</v>
      </c>
      <c r="I91" s="929"/>
      <c r="J91" s="928">
        <f>+J92+J101+J102</f>
        <v>0</v>
      </c>
      <c r="K91" s="929"/>
    </row>
    <row r="92" spans="1:11" ht="12.75">
      <c r="A92" s="78" t="s">
        <v>158</v>
      </c>
      <c r="B92" s="930">
        <f>+B93+B97</f>
        <v>0</v>
      </c>
      <c r="C92" s="931"/>
      <c r="D92" s="931"/>
      <c r="E92" s="932"/>
      <c r="F92" s="930">
        <f>+F93+F97</f>
        <v>0</v>
      </c>
      <c r="G92" s="932"/>
      <c r="H92" s="930">
        <f>+H93+H97</f>
        <v>0</v>
      </c>
      <c r="I92" s="932"/>
      <c r="J92" s="930">
        <f>+J93+J97</f>
        <v>0</v>
      </c>
      <c r="K92" s="932"/>
    </row>
    <row r="93" spans="1:11" ht="12.75">
      <c r="A93" s="79" t="s">
        <v>374</v>
      </c>
      <c r="B93" s="925">
        <f>SUM(B94:E96)</f>
        <v>0</v>
      </c>
      <c r="C93" s="926"/>
      <c r="D93" s="926"/>
      <c r="E93" s="927"/>
      <c r="F93" s="925">
        <f>SUM(F94:G96)</f>
        <v>0</v>
      </c>
      <c r="G93" s="927"/>
      <c r="H93" s="925">
        <f>SUM(H94:I96)</f>
        <v>0</v>
      </c>
      <c r="I93" s="927"/>
      <c r="J93" s="925">
        <f>SUM(J94:K96)</f>
        <v>0</v>
      </c>
      <c r="K93" s="927"/>
    </row>
    <row r="94" spans="1:11" ht="12.75">
      <c r="A94" s="41" t="s">
        <v>135</v>
      </c>
      <c r="B94" s="917">
        <v>0</v>
      </c>
      <c r="C94" s="918"/>
      <c r="D94" s="918"/>
      <c r="E94" s="919"/>
      <c r="F94" s="917">
        <v>0</v>
      </c>
      <c r="G94" s="919"/>
      <c r="H94" s="920">
        <v>0</v>
      </c>
      <c r="I94" s="921"/>
      <c r="J94" s="920">
        <v>0</v>
      </c>
      <c r="K94" s="921"/>
    </row>
    <row r="95" spans="1:11" ht="12.75">
      <c r="A95" s="41" t="s">
        <v>136</v>
      </c>
      <c r="B95" s="917">
        <v>0</v>
      </c>
      <c r="C95" s="918"/>
      <c r="D95" s="918"/>
      <c r="E95" s="919"/>
      <c r="F95" s="917">
        <v>0</v>
      </c>
      <c r="G95" s="919"/>
      <c r="H95" s="920">
        <v>0</v>
      </c>
      <c r="I95" s="921"/>
      <c r="J95" s="920">
        <v>0</v>
      </c>
      <c r="K95" s="921"/>
    </row>
    <row r="96" spans="1:11" ht="12.75">
      <c r="A96" s="41" t="s">
        <v>137</v>
      </c>
      <c r="B96" s="917">
        <v>0</v>
      </c>
      <c r="C96" s="918"/>
      <c r="D96" s="918"/>
      <c r="E96" s="919"/>
      <c r="F96" s="917">
        <v>0</v>
      </c>
      <c r="G96" s="919"/>
      <c r="H96" s="920">
        <v>0</v>
      </c>
      <c r="I96" s="921"/>
      <c r="J96" s="920">
        <v>0</v>
      </c>
      <c r="K96" s="921"/>
    </row>
    <row r="97" spans="1:11" ht="12.75">
      <c r="A97" s="79" t="s">
        <v>375</v>
      </c>
      <c r="B97" s="925">
        <f>SUM(B98:E100)</f>
        <v>0</v>
      </c>
      <c r="C97" s="926"/>
      <c r="D97" s="926"/>
      <c r="E97" s="927"/>
      <c r="F97" s="925">
        <f>SUM(F98:G100)</f>
        <v>0</v>
      </c>
      <c r="G97" s="927"/>
      <c r="H97" s="925">
        <f>SUM(H98:I100)</f>
        <v>0</v>
      </c>
      <c r="I97" s="927"/>
      <c r="J97" s="925">
        <f>SUM(J98:K100)</f>
        <v>0</v>
      </c>
      <c r="K97" s="927"/>
    </row>
    <row r="98" spans="1:11" ht="12.75">
      <c r="A98" s="41" t="s">
        <v>138</v>
      </c>
      <c r="B98" s="917">
        <v>0</v>
      </c>
      <c r="C98" s="918"/>
      <c r="D98" s="918"/>
      <c r="E98" s="919"/>
      <c r="F98" s="917">
        <v>0</v>
      </c>
      <c r="G98" s="919"/>
      <c r="H98" s="920">
        <v>0</v>
      </c>
      <c r="I98" s="921"/>
      <c r="J98" s="920">
        <v>0</v>
      </c>
      <c r="K98" s="921"/>
    </row>
    <row r="99" spans="1:11" ht="12.75">
      <c r="A99" s="41" t="s">
        <v>139</v>
      </c>
      <c r="B99" s="917">
        <v>0</v>
      </c>
      <c r="C99" s="918"/>
      <c r="D99" s="918"/>
      <c r="E99" s="919"/>
      <c r="F99" s="917">
        <v>0</v>
      </c>
      <c r="G99" s="919"/>
      <c r="H99" s="920">
        <v>0</v>
      </c>
      <c r="I99" s="921"/>
      <c r="J99" s="920">
        <v>0</v>
      </c>
      <c r="K99" s="921"/>
    </row>
    <row r="100" spans="1:11" ht="12.75">
      <c r="A100" s="41" t="s">
        <v>956</v>
      </c>
      <c r="B100" s="917">
        <v>0</v>
      </c>
      <c r="C100" s="918"/>
      <c r="D100" s="918"/>
      <c r="E100" s="919"/>
      <c r="F100" s="917">
        <v>0</v>
      </c>
      <c r="G100" s="919"/>
      <c r="H100" s="920">
        <v>0</v>
      </c>
      <c r="I100" s="921"/>
      <c r="J100" s="920">
        <v>0</v>
      </c>
      <c r="K100" s="921"/>
    </row>
    <row r="101" spans="1:11" ht="12.75">
      <c r="A101" s="78" t="s">
        <v>159</v>
      </c>
      <c r="B101" s="917">
        <v>0</v>
      </c>
      <c r="C101" s="918"/>
      <c r="D101" s="918"/>
      <c r="E101" s="919"/>
      <c r="F101" s="917">
        <v>0</v>
      </c>
      <c r="G101" s="919"/>
      <c r="H101" s="920">
        <v>0</v>
      </c>
      <c r="I101" s="921"/>
      <c r="J101" s="920">
        <v>0</v>
      </c>
      <c r="K101" s="921"/>
    </row>
    <row r="102" spans="1:11" ht="12.75">
      <c r="A102" s="78" t="s">
        <v>160</v>
      </c>
      <c r="B102" s="917">
        <v>0</v>
      </c>
      <c r="C102" s="918"/>
      <c r="D102" s="918"/>
      <c r="E102" s="919"/>
      <c r="F102" s="917">
        <v>0</v>
      </c>
      <c r="G102" s="919"/>
      <c r="H102" s="920">
        <v>0</v>
      </c>
      <c r="I102" s="921"/>
      <c r="J102" s="920">
        <v>0</v>
      </c>
      <c r="K102" s="921"/>
    </row>
    <row r="103" spans="1:11" ht="12.75">
      <c r="A103" s="80" t="s">
        <v>195</v>
      </c>
      <c r="B103" s="917">
        <v>0</v>
      </c>
      <c r="C103" s="918"/>
      <c r="D103" s="918"/>
      <c r="E103" s="919"/>
      <c r="F103" s="917">
        <v>0</v>
      </c>
      <c r="G103" s="919"/>
      <c r="H103" s="920">
        <v>0</v>
      </c>
      <c r="I103" s="921"/>
      <c r="J103" s="920">
        <v>0</v>
      </c>
      <c r="K103" s="921"/>
    </row>
    <row r="104" spans="1:11" ht="12.75">
      <c r="A104" s="80" t="s">
        <v>201</v>
      </c>
      <c r="B104" s="917">
        <v>0</v>
      </c>
      <c r="C104" s="918"/>
      <c r="D104" s="918"/>
      <c r="E104" s="919"/>
      <c r="F104" s="917">
        <v>0</v>
      </c>
      <c r="G104" s="919"/>
      <c r="H104" s="920">
        <v>0</v>
      </c>
      <c r="I104" s="921"/>
      <c r="J104" s="920">
        <v>0</v>
      </c>
      <c r="K104" s="921"/>
    </row>
    <row r="105" spans="1:11" ht="12.75">
      <c r="A105" s="80" t="s">
        <v>199</v>
      </c>
      <c r="B105" s="917">
        <v>0</v>
      </c>
      <c r="C105" s="918"/>
      <c r="D105" s="918"/>
      <c r="E105" s="919"/>
      <c r="F105" s="917">
        <v>0</v>
      </c>
      <c r="G105" s="919"/>
      <c r="H105" s="920">
        <v>0</v>
      </c>
      <c r="I105" s="921"/>
      <c r="J105" s="920">
        <v>0</v>
      </c>
      <c r="K105" s="921"/>
    </row>
    <row r="106" spans="1:11" ht="12.75">
      <c r="A106" s="41" t="s">
        <v>162</v>
      </c>
      <c r="B106" s="922">
        <f>SUM(B107:E109)</f>
        <v>0</v>
      </c>
      <c r="C106" s="923"/>
      <c r="D106" s="923"/>
      <c r="E106" s="924"/>
      <c r="F106" s="922">
        <f>SUM(F107:G109)</f>
        <v>0</v>
      </c>
      <c r="G106" s="924"/>
      <c r="H106" s="922">
        <f>SUM(H107:I109)</f>
        <v>0</v>
      </c>
      <c r="I106" s="924"/>
      <c r="J106" s="922">
        <f>SUM(J107:K109)</f>
        <v>0</v>
      </c>
      <c r="K106" s="924"/>
    </row>
    <row r="107" spans="1:11" ht="12.75">
      <c r="A107" s="41" t="s">
        <v>244</v>
      </c>
      <c r="B107" s="917">
        <v>0</v>
      </c>
      <c r="C107" s="918"/>
      <c r="D107" s="918"/>
      <c r="E107" s="919"/>
      <c r="F107" s="917">
        <v>0</v>
      </c>
      <c r="G107" s="919"/>
      <c r="H107" s="920">
        <v>0</v>
      </c>
      <c r="I107" s="921"/>
      <c r="J107" s="920">
        <v>0</v>
      </c>
      <c r="K107" s="921"/>
    </row>
    <row r="108" spans="1:11" ht="12.75">
      <c r="A108" s="41" t="s">
        <v>269</v>
      </c>
      <c r="B108" s="917">
        <v>0</v>
      </c>
      <c r="C108" s="918"/>
      <c r="D108" s="918"/>
      <c r="E108" s="919"/>
      <c r="F108" s="917">
        <v>0</v>
      </c>
      <c r="G108" s="919"/>
      <c r="H108" s="920">
        <v>0</v>
      </c>
      <c r="I108" s="921"/>
      <c r="J108" s="920">
        <v>0</v>
      </c>
      <c r="K108" s="921"/>
    </row>
    <row r="109" spans="1:11" ht="12.75">
      <c r="A109" s="41" t="s">
        <v>245</v>
      </c>
      <c r="B109" s="917">
        <v>0</v>
      </c>
      <c r="C109" s="918"/>
      <c r="D109" s="918"/>
      <c r="E109" s="919"/>
      <c r="F109" s="917">
        <v>0</v>
      </c>
      <c r="G109" s="919"/>
      <c r="H109" s="920">
        <v>0</v>
      </c>
      <c r="I109" s="921"/>
      <c r="J109" s="920">
        <v>0</v>
      </c>
      <c r="K109" s="921"/>
    </row>
    <row r="110" spans="1:11" ht="25.5">
      <c r="A110" s="123" t="s">
        <v>957</v>
      </c>
      <c r="B110" s="916">
        <f>+B90+B106</f>
        <v>0</v>
      </c>
      <c r="C110" s="916"/>
      <c r="D110" s="916"/>
      <c r="E110" s="916"/>
      <c r="F110" s="916">
        <f>+F90+F106</f>
        <v>0</v>
      </c>
      <c r="G110" s="916"/>
      <c r="H110" s="916">
        <f>+H90+H106</f>
        <v>0</v>
      </c>
      <c r="I110" s="916"/>
      <c r="J110" s="916">
        <f>+J90+J106</f>
        <v>0</v>
      </c>
      <c r="K110" s="916"/>
    </row>
    <row r="111" spans="1:6" ht="12.75">
      <c r="A111" s="42"/>
      <c r="B111" s="84"/>
      <c r="C111" s="84"/>
      <c r="D111" s="124"/>
      <c r="E111" s="124"/>
      <c r="F111" s="124"/>
    </row>
    <row r="112" spans="1:11" ht="24.75" customHeight="1">
      <c r="A112" s="125"/>
      <c r="B112" s="892" t="s">
        <v>175</v>
      </c>
      <c r="C112" s="894"/>
      <c r="D112" s="904" t="s">
        <v>175</v>
      </c>
      <c r="E112" s="906"/>
      <c r="F112" s="961" t="s">
        <v>176</v>
      </c>
      <c r="G112" s="962"/>
      <c r="H112" s="961" t="s">
        <v>177</v>
      </c>
      <c r="I112" s="962"/>
      <c r="J112" s="961" t="s">
        <v>414</v>
      </c>
      <c r="K112" s="962"/>
    </row>
    <row r="113" spans="1:11" ht="12.75" customHeight="1">
      <c r="A113" s="126" t="s">
        <v>163</v>
      </c>
      <c r="B113" s="958" t="s">
        <v>115</v>
      </c>
      <c r="C113" s="915"/>
      <c r="D113" s="958" t="s">
        <v>116</v>
      </c>
      <c r="E113" s="915"/>
      <c r="F113" s="211" t="s">
        <v>240</v>
      </c>
      <c r="G113" s="211" t="s">
        <v>240</v>
      </c>
      <c r="H113" s="211" t="s">
        <v>240</v>
      </c>
      <c r="I113" s="211" t="s">
        <v>240</v>
      </c>
      <c r="J113" s="216" t="s">
        <v>989</v>
      </c>
      <c r="K113" s="216" t="s">
        <v>989</v>
      </c>
    </row>
    <row r="114" spans="1:11" ht="25.5">
      <c r="A114" s="127"/>
      <c r="B114" s="128"/>
      <c r="C114" s="129"/>
      <c r="D114" s="130"/>
      <c r="E114" s="129"/>
      <c r="F114" s="210" t="str">
        <f>+H$12</f>
        <v>&lt;Exercício&gt;</v>
      </c>
      <c r="G114" s="210" t="str">
        <f>+J$12</f>
        <v>&lt;Exercício Anterior&gt;</v>
      </c>
      <c r="H114" s="210" t="str">
        <f>+F114</f>
        <v>&lt;Exercício&gt;</v>
      </c>
      <c r="I114" s="210" t="str">
        <f>G114</f>
        <v>&lt;Exercício Anterior&gt;</v>
      </c>
      <c r="J114" s="215" t="str">
        <f>+F114</f>
        <v>&lt;Exercício&gt;</v>
      </c>
      <c r="K114" s="215" t="str">
        <f>I114</f>
        <v>&lt;Exercício Anterior&gt;</v>
      </c>
    </row>
    <row r="115" spans="1:11" ht="12.75" customHeight="1">
      <c r="A115" s="131" t="s">
        <v>958</v>
      </c>
      <c r="B115" s="956">
        <f>SUM(B116:C117)</f>
        <v>0</v>
      </c>
      <c r="C115" s="957"/>
      <c r="D115" s="956">
        <f>SUM(D116:E117)</f>
        <v>0</v>
      </c>
      <c r="E115" s="957"/>
      <c r="F115" s="132">
        <f aca="true" t="shared" si="7" ref="F115:K115">SUM(F116:F117)</f>
        <v>0</v>
      </c>
      <c r="G115" s="132">
        <f t="shared" si="7"/>
        <v>0</v>
      </c>
      <c r="H115" s="132">
        <f t="shared" si="7"/>
        <v>0</v>
      </c>
      <c r="I115" s="132">
        <f t="shared" si="7"/>
        <v>0</v>
      </c>
      <c r="J115" s="132">
        <f t="shared" si="7"/>
        <v>0</v>
      </c>
      <c r="K115" s="133">
        <f t="shared" si="7"/>
        <v>0</v>
      </c>
    </row>
    <row r="116" spans="1:11" ht="12.75">
      <c r="A116" s="134" t="s">
        <v>246</v>
      </c>
      <c r="B116" s="920">
        <v>0</v>
      </c>
      <c r="C116" s="921"/>
      <c r="D116" s="920">
        <v>0</v>
      </c>
      <c r="E116" s="921"/>
      <c r="F116" s="333">
        <v>0</v>
      </c>
      <c r="G116" s="336">
        <v>0</v>
      </c>
      <c r="H116" s="336">
        <v>0</v>
      </c>
      <c r="I116" s="336">
        <v>0</v>
      </c>
      <c r="J116" s="336">
        <v>0</v>
      </c>
      <c r="K116" s="337">
        <v>0</v>
      </c>
    </row>
    <row r="117" spans="1:11" ht="12.75">
      <c r="A117" s="135" t="s">
        <v>247</v>
      </c>
      <c r="B117" s="959">
        <v>0</v>
      </c>
      <c r="C117" s="960"/>
      <c r="D117" s="959">
        <v>0</v>
      </c>
      <c r="E117" s="960"/>
      <c r="F117" s="334">
        <v>0</v>
      </c>
      <c r="G117" s="338">
        <v>0</v>
      </c>
      <c r="H117" s="338">
        <v>0</v>
      </c>
      <c r="I117" s="338">
        <v>0</v>
      </c>
      <c r="J117" s="338">
        <v>0</v>
      </c>
      <c r="K117" s="339">
        <v>0</v>
      </c>
    </row>
    <row r="118" spans="1:11" ht="12.75">
      <c r="A118" s="135" t="s">
        <v>959</v>
      </c>
      <c r="B118" s="817">
        <f>B115</f>
        <v>0</v>
      </c>
      <c r="C118" s="818"/>
      <c r="D118" s="817">
        <f>D115</f>
        <v>0</v>
      </c>
      <c r="E118" s="818"/>
      <c r="F118" s="136">
        <f aca="true" t="shared" si="8" ref="F118:K118">+F115</f>
        <v>0</v>
      </c>
      <c r="G118" s="136">
        <f t="shared" si="8"/>
        <v>0</v>
      </c>
      <c r="H118" s="136">
        <f t="shared" si="8"/>
        <v>0</v>
      </c>
      <c r="I118" s="136">
        <f t="shared" si="8"/>
        <v>0</v>
      </c>
      <c r="J118" s="136">
        <f t="shared" si="8"/>
        <v>0</v>
      </c>
      <c r="K118" s="137">
        <f t="shared" si="8"/>
        <v>0</v>
      </c>
    </row>
    <row r="119" spans="1:11" ht="18.75" customHeight="1">
      <c r="A119" s="903" t="s">
        <v>518</v>
      </c>
      <c r="B119" s="903"/>
      <c r="C119" s="903"/>
      <c r="D119" s="903"/>
      <c r="E119" s="903"/>
      <c r="F119" s="903"/>
      <c r="G119" s="903"/>
      <c r="H119" s="903"/>
      <c r="I119" s="903"/>
      <c r="J119" s="903"/>
      <c r="K119" s="903"/>
    </row>
    <row r="120" s="105" customFormat="1" ht="11.25" customHeight="1"/>
    <row r="121" spans="1:10" ht="11.25" customHeight="1">
      <c r="A121" s="891"/>
      <c r="B121" s="891"/>
      <c r="C121" s="891"/>
      <c r="D121" s="891"/>
      <c r="E121" s="891"/>
      <c r="F121" s="891"/>
      <c r="G121" s="891"/>
      <c r="H121" s="891"/>
      <c r="I121" s="891"/>
      <c r="J121" s="891"/>
    </row>
  </sheetData>
  <sheetProtection password="C236" sheet="1" objects="1" scenarios="1" formatColumns="0" selectLockedCells="1"/>
  <mergeCells count="292"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80:A81"/>
    <mergeCell ref="B81:G81"/>
    <mergeCell ref="B80:K80"/>
    <mergeCell ref="H81:K81"/>
    <mergeCell ref="B74:K74"/>
    <mergeCell ref="B75:K75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rintOptions horizontalCentered="1"/>
  <pageMargins left="0.1968503937007874" right="0.1968503937007874" top="1.1811023622047245" bottom="0.3937007874015748" header="0" footer="0.1968503937007874"/>
  <pageSetup horizontalDpi="600" verticalDpi="600" orientation="landscape" paperSize="9" scale="80" r:id="rId1"/>
  <rowBreaks count="2" manualBreakCount="2">
    <brk id="39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="130" zoomScaleNormal="130" zoomScalePageLayoutView="0" workbookViewId="0" topLeftCell="A1">
      <selection activeCell="B40" sqref="B40:G43"/>
    </sheetView>
  </sheetViews>
  <sheetFormatPr defaultColWidth="9.140625" defaultRowHeight="11.25" customHeight="1"/>
  <cols>
    <col min="1" max="1" width="59.57421875" style="71" customWidth="1"/>
    <col min="2" max="7" width="12.7109375" style="71" customWidth="1"/>
    <col min="8" max="16384" width="9.140625" style="71" customWidth="1"/>
  </cols>
  <sheetData>
    <row r="1" spans="1:5" ht="15.75">
      <c r="A1" s="138" t="s">
        <v>870</v>
      </c>
      <c r="D1" s="105"/>
      <c r="E1" s="105"/>
    </row>
    <row r="2" spans="4:5" ht="12.75">
      <c r="D2" s="105"/>
      <c r="E2" s="105"/>
    </row>
    <row r="3" spans="1:7" ht="12.75">
      <c r="A3" s="886" t="str">
        <f>+'Informações Iniciais'!A1:B1</f>
        <v>PODER EXECUTIVO</v>
      </c>
      <c r="B3" s="886"/>
      <c r="C3" s="886"/>
      <c r="D3" s="886"/>
      <c r="E3" s="886"/>
      <c r="F3" s="886"/>
      <c r="G3" s="886"/>
    </row>
    <row r="4" spans="1:7" ht="12.75">
      <c r="A4" s="886" t="s">
        <v>109</v>
      </c>
      <c r="B4" s="886"/>
      <c r="C4" s="886"/>
      <c r="D4" s="886"/>
      <c r="E4" s="886"/>
      <c r="F4" s="886"/>
      <c r="G4" s="886"/>
    </row>
    <row r="5" spans="1:7" ht="12.75">
      <c r="A5" s="885" t="s">
        <v>871</v>
      </c>
      <c r="B5" s="885"/>
      <c r="C5" s="885"/>
      <c r="D5" s="885"/>
      <c r="E5" s="885"/>
      <c r="F5" s="885"/>
      <c r="G5" s="885"/>
    </row>
    <row r="6" spans="1:7" ht="12.75">
      <c r="A6" s="886" t="s">
        <v>111</v>
      </c>
      <c r="B6" s="886"/>
      <c r="C6" s="886"/>
      <c r="D6" s="886"/>
      <c r="E6" s="886"/>
      <c r="F6" s="886"/>
      <c r="G6" s="886"/>
    </row>
    <row r="7" spans="1:7" ht="12.75">
      <c r="A7" s="886" t="str">
        <f>+'Informações Iniciais'!A5:B5</f>
        <v>5º Bimestre de 2016</v>
      </c>
      <c r="B7" s="886"/>
      <c r="C7" s="886"/>
      <c r="D7" s="886"/>
      <c r="E7" s="886"/>
      <c r="F7" s="886"/>
      <c r="G7" s="886"/>
    </row>
    <row r="8" spans="1:7" ht="12.75">
      <c r="A8" s="139"/>
      <c r="B8" s="139"/>
      <c r="C8" s="139"/>
      <c r="D8" s="139"/>
      <c r="E8" s="139"/>
      <c r="F8" s="139"/>
      <c r="G8" s="139"/>
    </row>
    <row r="9" spans="1:7" ht="12.75">
      <c r="A9" s="71" t="s">
        <v>872</v>
      </c>
      <c r="D9" s="44"/>
      <c r="E9" s="105"/>
      <c r="G9" s="45" t="s">
        <v>519</v>
      </c>
    </row>
    <row r="10" spans="1:7" ht="12.75">
      <c r="A10" s="140"/>
      <c r="B10" s="141"/>
      <c r="C10" s="212"/>
      <c r="D10" s="1016" t="s">
        <v>179</v>
      </c>
      <c r="E10" s="1016"/>
      <c r="F10" s="212"/>
      <c r="G10" s="142"/>
    </row>
    <row r="11" spans="1:7" ht="12.75">
      <c r="A11" s="228" t="s">
        <v>873</v>
      </c>
      <c r="B11" s="1017" t="s">
        <v>874</v>
      </c>
      <c r="C11" s="1018"/>
      <c r="D11" s="1019" t="s">
        <v>875</v>
      </c>
      <c r="E11" s="1020"/>
      <c r="F11" s="1021" t="s">
        <v>876</v>
      </c>
      <c r="G11" s="1020"/>
    </row>
    <row r="12" spans="1:7" ht="12.75">
      <c r="A12" s="143"/>
      <c r="B12" s="1011" t="s">
        <v>120</v>
      </c>
      <c r="C12" s="1012"/>
      <c r="D12" s="1013" t="s">
        <v>121</v>
      </c>
      <c r="E12" s="1014"/>
      <c r="F12" s="1015" t="s">
        <v>171</v>
      </c>
      <c r="G12" s="1014"/>
    </row>
    <row r="13" spans="1:7" ht="12.75">
      <c r="A13" s="42" t="s">
        <v>877</v>
      </c>
      <c r="B13" s="920">
        <v>0</v>
      </c>
      <c r="C13" s="921"/>
      <c r="D13" s="920">
        <v>0</v>
      </c>
      <c r="E13" s="921"/>
      <c r="F13" s="920">
        <v>0</v>
      </c>
      <c r="G13" s="921"/>
    </row>
    <row r="14" spans="1:7" ht="12.75">
      <c r="A14" s="42" t="s">
        <v>200</v>
      </c>
      <c r="B14" s="1007">
        <f>IF(ABS(B17)&gt;(B15+B16),0,B22)</f>
        <v>0</v>
      </c>
      <c r="C14" s="1008"/>
      <c r="D14" s="1007">
        <f>IF(ABS(D17)&gt;(D15+D16),0,D22)</f>
        <v>0</v>
      </c>
      <c r="E14" s="1008"/>
      <c r="F14" s="1007">
        <f>IF(ABS(F17)&gt;(F15+F16),0,F22)</f>
        <v>0</v>
      </c>
      <c r="G14" s="1008"/>
    </row>
    <row r="15" spans="1:7" ht="12.75">
      <c r="A15" s="144" t="s">
        <v>878</v>
      </c>
      <c r="B15" s="920">
        <v>0</v>
      </c>
      <c r="C15" s="921"/>
      <c r="D15" s="920">
        <v>0</v>
      </c>
      <c r="E15" s="921"/>
      <c r="F15" s="920">
        <v>0</v>
      </c>
      <c r="G15" s="921"/>
    </row>
    <row r="16" spans="1:7" ht="12.75">
      <c r="A16" s="144" t="s">
        <v>879</v>
      </c>
      <c r="B16" s="920">
        <v>0</v>
      </c>
      <c r="C16" s="921"/>
      <c r="D16" s="920">
        <v>0</v>
      </c>
      <c r="E16" s="921"/>
      <c r="F16" s="920">
        <v>0</v>
      </c>
      <c r="G16" s="921"/>
    </row>
    <row r="17" spans="1:7" ht="12.75">
      <c r="A17" s="144" t="s">
        <v>880</v>
      </c>
      <c r="B17" s="920">
        <v>0</v>
      </c>
      <c r="C17" s="921"/>
      <c r="D17" s="920">
        <v>0</v>
      </c>
      <c r="E17" s="921"/>
      <c r="F17" s="920">
        <v>0</v>
      </c>
      <c r="G17" s="921"/>
    </row>
    <row r="18" spans="1:7" ht="12.75">
      <c r="A18" s="42" t="s">
        <v>881</v>
      </c>
      <c r="B18" s="1007">
        <f>B13-B14</f>
        <v>0</v>
      </c>
      <c r="C18" s="1008"/>
      <c r="D18" s="1007">
        <f>D13-D14</f>
        <v>0</v>
      </c>
      <c r="E18" s="1008"/>
      <c r="F18" s="1007">
        <f>F13-F14</f>
        <v>0</v>
      </c>
      <c r="G18" s="1008"/>
    </row>
    <row r="19" spans="1:7" ht="12.75">
      <c r="A19" s="42" t="s">
        <v>882</v>
      </c>
      <c r="B19" s="920">
        <v>0</v>
      </c>
      <c r="C19" s="921"/>
      <c r="D19" s="920">
        <v>0</v>
      </c>
      <c r="E19" s="921"/>
      <c r="F19" s="920">
        <v>0</v>
      </c>
      <c r="G19" s="921"/>
    </row>
    <row r="20" spans="1:7" ht="12.75">
      <c r="A20" s="42" t="s">
        <v>883</v>
      </c>
      <c r="B20" s="920">
        <v>0</v>
      </c>
      <c r="C20" s="921"/>
      <c r="D20" s="920">
        <v>0</v>
      </c>
      <c r="E20" s="921"/>
      <c r="F20" s="920">
        <v>0</v>
      </c>
      <c r="G20" s="921"/>
    </row>
    <row r="21" spans="1:7" ht="12.75">
      <c r="A21" s="145" t="s">
        <v>884</v>
      </c>
      <c r="B21" s="817">
        <f>B18+B19-B20</f>
        <v>0</v>
      </c>
      <c r="C21" s="818"/>
      <c r="D21" s="817">
        <f>D18+D19-D20</f>
        <v>0</v>
      </c>
      <c r="E21" s="818"/>
      <c r="F21" s="817">
        <f>F18+F19-F20</f>
        <v>0</v>
      </c>
      <c r="G21" s="818"/>
    </row>
    <row r="22" spans="1:7" ht="12.75">
      <c r="A22" s="41"/>
      <c r="B22" s="1005">
        <f>IF(B17&lt;0,SUM(B15:C17),+B15+B16-B17)</f>
        <v>0</v>
      </c>
      <c r="C22" s="1005"/>
      <c r="D22" s="1005">
        <f>IF(D17&lt;0,SUM(D15:E17),+D15+D16-D17)</f>
        <v>0</v>
      </c>
      <c r="E22" s="1005"/>
      <c r="F22" s="1005">
        <f>IF(F17&lt;0,SUM(F15:G17),+F15+F16-F17)</f>
        <v>0</v>
      </c>
      <c r="G22" s="1005"/>
    </row>
    <row r="23" spans="1:7" ht="12.75">
      <c r="A23" s="140"/>
      <c r="B23" s="146"/>
      <c r="C23" s="213"/>
      <c r="D23" s="1022" t="s">
        <v>250</v>
      </c>
      <c r="E23" s="1022"/>
      <c r="F23" s="213"/>
      <c r="G23" s="147"/>
    </row>
    <row r="24" spans="1:7" ht="12.75">
      <c r="A24" s="228" t="s">
        <v>885</v>
      </c>
      <c r="B24" s="148"/>
      <c r="C24" s="149" t="s">
        <v>117</v>
      </c>
      <c r="D24" s="150"/>
      <c r="E24" s="148"/>
      <c r="F24" s="149" t="s">
        <v>119</v>
      </c>
      <c r="G24" s="150"/>
    </row>
    <row r="25" spans="1:7" ht="12.75">
      <c r="A25" s="143"/>
      <c r="B25" s="151"/>
      <c r="C25" s="152" t="s">
        <v>954</v>
      </c>
      <c r="D25" s="153"/>
      <c r="E25" s="151"/>
      <c r="F25" s="152" t="s">
        <v>955</v>
      </c>
      <c r="G25" s="153"/>
    </row>
    <row r="26" spans="1:7" ht="12.75">
      <c r="A26" s="154" t="s">
        <v>251</v>
      </c>
      <c r="B26" s="1034">
        <f>F21-D21</f>
        <v>0</v>
      </c>
      <c r="C26" s="1035"/>
      <c r="D26" s="1036"/>
      <c r="E26" s="1034">
        <f>F21-B21</f>
        <v>0</v>
      </c>
      <c r="F26" s="1035"/>
      <c r="G26" s="1036"/>
    </row>
    <row r="27" spans="1:7" ht="12.75">
      <c r="A27" s="42"/>
      <c r="B27" s="84"/>
      <c r="C27" s="84"/>
      <c r="D27" s="84"/>
      <c r="E27" s="84"/>
      <c r="F27" s="84"/>
      <c r="G27" s="155"/>
    </row>
    <row r="28" spans="1:7" ht="12.75">
      <c r="A28" s="1023" t="s">
        <v>886</v>
      </c>
      <c r="B28" s="1023"/>
      <c r="C28" s="1023"/>
      <c r="D28" s="1023"/>
      <c r="E28" s="1025" t="s">
        <v>887</v>
      </c>
      <c r="F28" s="1026"/>
      <c r="G28" s="1027"/>
    </row>
    <row r="29" spans="1:7" ht="12.75">
      <c r="A29" s="1024"/>
      <c r="B29" s="1024"/>
      <c r="C29" s="1024"/>
      <c r="D29" s="1024"/>
      <c r="E29" s="1011"/>
      <c r="F29" s="1028"/>
      <c r="G29" s="1012"/>
    </row>
    <row r="30" spans="1:7" ht="12.75">
      <c r="A30" s="154" t="s">
        <v>888</v>
      </c>
      <c r="B30" s="156"/>
      <c r="C30" s="156"/>
      <c r="D30" s="156"/>
      <c r="E30" s="1037">
        <v>0</v>
      </c>
      <c r="F30" s="1038"/>
      <c r="G30" s="1039"/>
    </row>
    <row r="31" spans="1:7" ht="12.75">
      <c r="A31" s="157"/>
      <c r="B31" s="156"/>
      <c r="C31" s="156"/>
      <c r="D31" s="156"/>
      <c r="E31" s="158"/>
      <c r="F31" s="158"/>
      <c r="G31" s="158"/>
    </row>
    <row r="32" spans="1:7" s="76" customFormat="1" ht="12.75">
      <c r="A32" s="1029" t="s">
        <v>889</v>
      </c>
      <c r="B32" s="1030"/>
      <c r="C32" s="1030"/>
      <c r="D32" s="1030"/>
      <c r="E32" s="1030"/>
      <c r="F32" s="1030"/>
      <c r="G32" s="1031"/>
    </row>
    <row r="33" spans="1:7" ht="12.75">
      <c r="A33" s="140"/>
      <c r="B33" s="141"/>
      <c r="C33" s="212"/>
      <c r="D33" s="1016" t="s">
        <v>179</v>
      </c>
      <c r="E33" s="1016"/>
      <c r="F33" s="212"/>
      <c r="G33" s="142"/>
    </row>
    <row r="34" spans="1:7" ht="12.75" customHeight="1">
      <c r="A34" s="228" t="s">
        <v>890</v>
      </c>
      <c r="B34" s="1032" t="str">
        <f>+B11</f>
        <v>Em 31/Dez/&lt;Exercício Anterior&gt;</v>
      </c>
      <c r="C34" s="1033"/>
      <c r="D34" s="1009" t="str">
        <f>+D11</f>
        <v>Em &lt;Bimestre Anterior&gt;</v>
      </c>
      <c r="E34" s="1010"/>
      <c r="F34" s="1009" t="str">
        <f>+F11</f>
        <v>Em &lt;Bimestre&gt;</v>
      </c>
      <c r="G34" s="1010"/>
    </row>
    <row r="35" spans="1:7" ht="12.75">
      <c r="A35" s="143"/>
      <c r="B35" s="1011" t="s">
        <v>120</v>
      </c>
      <c r="C35" s="1012"/>
      <c r="D35" s="1013" t="s">
        <v>121</v>
      </c>
      <c r="E35" s="1014"/>
      <c r="F35" s="1015" t="s">
        <v>171</v>
      </c>
      <c r="G35" s="1014"/>
    </row>
    <row r="36" spans="1:7" ht="12.75">
      <c r="A36" s="42" t="s">
        <v>891</v>
      </c>
      <c r="B36" s="1007">
        <f>SUM(B37:C38)</f>
        <v>0</v>
      </c>
      <c r="C36" s="1008"/>
      <c r="D36" s="1007">
        <f>SUM(D37:E38)</f>
        <v>0</v>
      </c>
      <c r="E36" s="1008"/>
      <c r="F36" s="1007">
        <f>SUM(F37:G38)</f>
        <v>0</v>
      </c>
      <c r="G36" s="1008"/>
    </row>
    <row r="37" spans="1:7" ht="12.75">
      <c r="A37" s="42" t="s">
        <v>892</v>
      </c>
      <c r="B37" s="920"/>
      <c r="C37" s="921"/>
      <c r="D37" s="920"/>
      <c r="E37" s="921"/>
      <c r="F37" s="920"/>
      <c r="G37" s="921"/>
    </row>
    <row r="38" spans="1:7" ht="12.75">
      <c r="A38" s="42" t="s">
        <v>893</v>
      </c>
      <c r="B38" s="920">
        <v>0</v>
      </c>
      <c r="C38" s="921"/>
      <c r="D38" s="920">
        <v>0</v>
      </c>
      <c r="E38" s="921"/>
      <c r="F38" s="920">
        <v>0</v>
      </c>
      <c r="G38" s="921"/>
    </row>
    <row r="39" spans="1:7" ht="12.75">
      <c r="A39" s="105" t="s">
        <v>894</v>
      </c>
      <c r="B39" s="1007">
        <f>IF(ABS(B43)&gt;(B40+B41+B42),0,B50)</f>
        <v>0</v>
      </c>
      <c r="C39" s="1008"/>
      <c r="D39" s="1007">
        <f>IF(ABS(D43)&gt;(D40+D41+D42),0,D50)</f>
        <v>0</v>
      </c>
      <c r="E39" s="1008"/>
      <c r="F39" s="1007">
        <f>IF(ABS(F43)&gt;(F40+F41+F42),0,F50)</f>
        <v>0</v>
      </c>
      <c r="G39" s="1008"/>
    </row>
    <row r="40" spans="1:7" ht="12.75">
      <c r="A40" s="105" t="s">
        <v>895</v>
      </c>
      <c r="B40" s="920">
        <v>0</v>
      </c>
      <c r="C40" s="921"/>
      <c r="D40" s="920">
        <v>0</v>
      </c>
      <c r="E40" s="921"/>
      <c r="F40" s="920">
        <v>0</v>
      </c>
      <c r="G40" s="921"/>
    </row>
    <row r="41" spans="1:7" ht="12.75">
      <c r="A41" s="105" t="s">
        <v>896</v>
      </c>
      <c r="B41" s="920">
        <v>0</v>
      </c>
      <c r="C41" s="921"/>
      <c r="D41" s="920">
        <v>0</v>
      </c>
      <c r="E41" s="921"/>
      <c r="F41" s="920">
        <v>0</v>
      </c>
      <c r="G41" s="921"/>
    </row>
    <row r="42" spans="1:7" ht="12.75">
      <c r="A42" s="105" t="s">
        <v>879</v>
      </c>
      <c r="B42" s="920">
        <v>0</v>
      </c>
      <c r="C42" s="921"/>
      <c r="D42" s="920">
        <v>0</v>
      </c>
      <c r="E42" s="921"/>
      <c r="F42" s="920">
        <v>0</v>
      </c>
      <c r="G42" s="921"/>
    </row>
    <row r="43" spans="1:7" ht="12.75">
      <c r="A43" s="42" t="s">
        <v>897</v>
      </c>
      <c r="B43" s="920">
        <v>0</v>
      </c>
      <c r="C43" s="921"/>
      <c r="D43" s="920">
        <v>0</v>
      </c>
      <c r="E43" s="921"/>
      <c r="F43" s="920">
        <v>0</v>
      </c>
      <c r="G43" s="921"/>
    </row>
    <row r="44" spans="1:7" ht="12.75">
      <c r="A44" s="105" t="s">
        <v>898</v>
      </c>
      <c r="B44" s="1007">
        <f>B36-B39</f>
        <v>0</v>
      </c>
      <c r="C44" s="1008"/>
      <c r="D44" s="1007">
        <f>D36-D39</f>
        <v>0</v>
      </c>
      <c r="E44" s="1008"/>
      <c r="F44" s="1007">
        <f>F36-F39</f>
        <v>0</v>
      </c>
      <c r="G44" s="1008"/>
    </row>
    <row r="45" spans="1:7" ht="12.75">
      <c r="A45" s="105" t="s">
        <v>899</v>
      </c>
      <c r="B45" s="920">
        <v>0</v>
      </c>
      <c r="C45" s="921"/>
      <c r="D45" s="920">
        <v>0</v>
      </c>
      <c r="E45" s="921"/>
      <c r="F45" s="920">
        <v>0</v>
      </c>
      <c r="G45" s="921"/>
    </row>
    <row r="46" spans="1:7" ht="12.75">
      <c r="A46" s="159" t="s">
        <v>900</v>
      </c>
      <c r="B46" s="849">
        <f>B44-B45</f>
        <v>0</v>
      </c>
      <c r="C46" s="850"/>
      <c r="D46" s="849">
        <f>D44-D45</f>
        <v>0</v>
      </c>
      <c r="E46" s="850"/>
      <c r="F46" s="849">
        <f>F44-F45</f>
        <v>0</v>
      </c>
      <c r="G46" s="850"/>
    </row>
    <row r="47" spans="1:9" ht="12.75" customHeight="1">
      <c r="A47" s="903" t="s">
        <v>518</v>
      </c>
      <c r="B47" s="903"/>
      <c r="C47" s="903"/>
      <c r="D47" s="903"/>
      <c r="E47" s="903"/>
      <c r="F47" s="903"/>
      <c r="G47" s="903"/>
      <c r="H47" s="160"/>
      <c r="I47" s="160"/>
    </row>
    <row r="48" ht="11.25" customHeight="1">
      <c r="A48" s="105"/>
    </row>
    <row r="50" spans="2:7" ht="11.25" customHeight="1">
      <c r="B50" s="1006">
        <f>IF(B43&lt;0,SUM(B40:B43),+B40+B41+B42-B43)</f>
        <v>0</v>
      </c>
      <c r="C50" s="1006"/>
      <c r="D50" s="1006">
        <f>IF(D43&lt;0,SUM(D40:D43),+D40+D41+D42-D43)</f>
        <v>0</v>
      </c>
      <c r="E50" s="1006"/>
      <c r="F50" s="1006">
        <f>IF(F43&lt;0,SUM(F40:F43),+F40+F41+F42-F43)</f>
        <v>0</v>
      </c>
      <c r="G50" s="1006"/>
    </row>
  </sheetData>
  <sheetProtection password="C236" sheet="1" objects="1" scenarios="1" formatColumns="0" selectLockedCells="1"/>
  <mergeCells count="93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</mergeCells>
  <printOptions horizontalCentered="1"/>
  <pageMargins left="0.3937007874015748" right="0.1968503937007874" top="0.5905511811023623" bottom="0.3937007874015748" header="0.11811023622047245" footer="0.1181102362204724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115" zoomScaleNormal="115" zoomScalePageLayoutView="0" workbookViewId="0" topLeftCell="A1">
      <selection activeCell="B24" sqref="B24:H25"/>
    </sheetView>
  </sheetViews>
  <sheetFormatPr defaultColWidth="16.7109375" defaultRowHeight="11.25" customHeight="1"/>
  <cols>
    <col min="1" max="1" width="55.00390625" style="161" customWidth="1"/>
    <col min="2" max="2" width="14.28125" style="161" customWidth="1"/>
    <col min="3" max="3" width="14.28125" style="162" customWidth="1"/>
    <col min="4" max="6" width="14.28125" style="161" customWidth="1"/>
    <col min="7" max="8" width="13.57421875" style="161" customWidth="1"/>
    <col min="9" max="254" width="7.8515625" style="161" customWidth="1"/>
    <col min="255" max="255" width="55.00390625" style="161" customWidth="1"/>
    <col min="256" max="16384" width="16.7109375" style="161" customWidth="1"/>
  </cols>
  <sheetData>
    <row r="1" ht="11.25" customHeight="1">
      <c r="A1" s="40" t="s">
        <v>901</v>
      </c>
    </row>
    <row r="2" spans="1:4" ht="11.25" customHeight="1">
      <c r="A2" s="76"/>
      <c r="B2" s="76"/>
      <c r="C2" s="144"/>
      <c r="D2" s="76"/>
    </row>
    <row r="3" spans="1:4" ht="12.75" customHeight="1">
      <c r="A3" s="886" t="str">
        <f>+'Informações Iniciais'!A1:B1</f>
        <v>PODER EXECUTIVO</v>
      </c>
      <c r="B3" s="886"/>
      <c r="C3" s="886"/>
      <c r="D3" s="886"/>
    </row>
    <row r="4" spans="1:4" ht="12.75" customHeight="1">
      <c r="A4" s="886" t="s">
        <v>109</v>
      </c>
      <c r="B4" s="886"/>
      <c r="C4" s="886"/>
      <c r="D4" s="886"/>
    </row>
    <row r="5" spans="1:4" ht="12.75" customHeight="1">
      <c r="A5" s="885" t="s">
        <v>902</v>
      </c>
      <c r="B5" s="885"/>
      <c r="C5" s="885"/>
      <c r="D5" s="885"/>
    </row>
    <row r="6" spans="1:4" ht="12.75" customHeight="1">
      <c r="A6" s="886" t="s">
        <v>111</v>
      </c>
      <c r="B6" s="886"/>
      <c r="C6" s="886"/>
      <c r="D6" s="886"/>
    </row>
    <row r="7" spans="1:4" ht="12.75" customHeight="1">
      <c r="A7" s="886" t="str">
        <f>+'Informações Iniciais'!A5:B5</f>
        <v>5º Bimestre de 2016</v>
      </c>
      <c r="B7" s="886"/>
      <c r="C7" s="886"/>
      <c r="D7" s="886"/>
    </row>
    <row r="8" spans="1:4" ht="11.25" customHeight="1">
      <c r="A8" s="41"/>
      <c r="B8" s="41"/>
      <c r="C8" s="41"/>
      <c r="D8" s="41"/>
    </row>
    <row r="9" spans="1:8" ht="11.25" customHeight="1">
      <c r="A9" s="163" t="s">
        <v>903</v>
      </c>
      <c r="B9" s="164"/>
      <c r="C9" s="165"/>
      <c r="D9" s="164"/>
      <c r="E9" s="164"/>
      <c r="F9" s="164"/>
      <c r="G9" s="164"/>
      <c r="H9" s="45" t="s">
        <v>904</v>
      </c>
    </row>
    <row r="10" spans="1:8" ht="11.25" customHeight="1">
      <c r="A10" s="166"/>
      <c r="B10" s="892" t="s">
        <v>281</v>
      </c>
      <c r="C10" s="894"/>
      <c r="D10" s="961" t="s">
        <v>113</v>
      </c>
      <c r="E10" s="986"/>
      <c r="F10" s="986"/>
      <c r="G10" s="986"/>
      <c r="H10" s="962"/>
    </row>
    <row r="11" spans="1:9" ht="11.25" customHeight="1">
      <c r="A11" s="214" t="s">
        <v>905</v>
      </c>
      <c r="B11" s="958"/>
      <c r="C11" s="915"/>
      <c r="D11" s="892" t="s">
        <v>240</v>
      </c>
      <c r="E11" s="894"/>
      <c r="F11" s="893" t="s">
        <v>240</v>
      </c>
      <c r="G11" s="893"/>
      <c r="H11" s="894"/>
      <c r="I11" s="144"/>
    </row>
    <row r="12" spans="1:9" ht="11.25" customHeight="1">
      <c r="A12" s="167"/>
      <c r="B12" s="907"/>
      <c r="C12" s="909"/>
      <c r="D12" s="1053">
        <v>2016</v>
      </c>
      <c r="E12" s="1054"/>
      <c r="F12" s="1055">
        <f>+D12-1</f>
        <v>2015</v>
      </c>
      <c r="G12" s="1055"/>
      <c r="H12" s="1056"/>
      <c r="I12" s="144"/>
    </row>
    <row r="13" spans="1:9" ht="11.25" customHeight="1">
      <c r="A13" s="84" t="s">
        <v>906</v>
      </c>
      <c r="B13" s="1007">
        <f>B14+B20+B23+B26+B32</f>
        <v>17562215</v>
      </c>
      <c r="C13" s="1008"/>
      <c r="D13" s="1007">
        <f>D14+D20+D23+D26+D32</f>
        <v>10499282.91</v>
      </c>
      <c r="E13" s="1008"/>
      <c r="F13" s="956">
        <f>F14+F20+F23+F26+F32</f>
        <v>12602751.31</v>
      </c>
      <c r="G13" s="993"/>
      <c r="H13" s="957"/>
      <c r="I13" s="105"/>
    </row>
    <row r="14" spans="1:9" ht="11.25" customHeight="1">
      <c r="A14" s="84" t="s">
        <v>907</v>
      </c>
      <c r="B14" s="1007">
        <f>SUM(B15:C19)</f>
        <v>4682885</v>
      </c>
      <c r="C14" s="1008"/>
      <c r="D14" s="1007">
        <f>SUM(D15:E19)</f>
        <v>3054594.92</v>
      </c>
      <c r="E14" s="1008"/>
      <c r="F14" s="1007">
        <f>SUM(F15:G19)</f>
        <v>5945009.829999999</v>
      </c>
      <c r="G14" s="1052"/>
      <c r="H14" s="1008"/>
      <c r="I14" s="105"/>
    </row>
    <row r="15" spans="1:9" ht="11.25" customHeight="1">
      <c r="A15" s="168" t="s">
        <v>841</v>
      </c>
      <c r="B15" s="920">
        <v>2090</v>
      </c>
      <c r="C15" s="921"/>
      <c r="D15" s="920">
        <v>2158.74</v>
      </c>
      <c r="E15" s="921"/>
      <c r="F15" s="920">
        <v>9239.02</v>
      </c>
      <c r="G15" s="1048"/>
      <c r="H15" s="921"/>
      <c r="I15" s="105"/>
    </row>
    <row r="16" spans="1:9" ht="11.25" customHeight="1">
      <c r="A16" s="168" t="s">
        <v>842</v>
      </c>
      <c r="B16" s="920">
        <v>4417455</v>
      </c>
      <c r="C16" s="921"/>
      <c r="D16" s="920">
        <v>2996520.69</v>
      </c>
      <c r="E16" s="921"/>
      <c r="F16" s="920">
        <v>5417370.49</v>
      </c>
      <c r="G16" s="1048"/>
      <c r="H16" s="921"/>
      <c r="I16" s="105"/>
    </row>
    <row r="17" spans="1:9" ht="11.25" customHeight="1">
      <c r="A17" s="168" t="s">
        <v>843</v>
      </c>
      <c r="B17" s="920">
        <v>2090</v>
      </c>
      <c r="C17" s="921"/>
      <c r="D17" s="920">
        <v>3853.44</v>
      </c>
      <c r="E17" s="921"/>
      <c r="F17" s="920">
        <v>96550.02</v>
      </c>
      <c r="G17" s="1048"/>
      <c r="H17" s="921"/>
      <c r="I17" s="105"/>
    </row>
    <row r="18" spans="1:9" ht="11.25" customHeight="1">
      <c r="A18" s="168" t="s">
        <v>624</v>
      </c>
      <c r="B18" s="920">
        <v>261250</v>
      </c>
      <c r="C18" s="921"/>
      <c r="D18" s="920">
        <v>52062.05</v>
      </c>
      <c r="E18" s="921"/>
      <c r="F18" s="920">
        <v>421850.3</v>
      </c>
      <c r="G18" s="1048"/>
      <c r="H18" s="921"/>
      <c r="I18" s="105"/>
    </row>
    <row r="19" spans="1:9" ht="11.25" customHeight="1">
      <c r="A19" s="168" t="s">
        <v>625</v>
      </c>
      <c r="B19" s="920"/>
      <c r="C19" s="921"/>
      <c r="D19" s="920"/>
      <c r="E19" s="921"/>
      <c r="F19" s="920"/>
      <c r="G19" s="1048"/>
      <c r="H19" s="921"/>
      <c r="I19" s="105"/>
    </row>
    <row r="20" spans="1:9" ht="11.25" customHeight="1">
      <c r="A20" s="84" t="s">
        <v>908</v>
      </c>
      <c r="B20" s="1007">
        <f>SUM(B21:C22)</f>
        <v>252890</v>
      </c>
      <c r="C20" s="1008"/>
      <c r="D20" s="1007">
        <f>SUM(D21:E22)</f>
        <v>108079.28</v>
      </c>
      <c r="E20" s="1008"/>
      <c r="F20" s="1007">
        <f>SUM(F21:G22)</f>
        <v>232533.11</v>
      </c>
      <c r="G20" s="1052"/>
      <c r="H20" s="1008"/>
      <c r="I20" s="105"/>
    </row>
    <row r="21" spans="1:9" ht="11.25" customHeight="1">
      <c r="A21" s="84" t="s">
        <v>909</v>
      </c>
      <c r="B21" s="920">
        <v>0</v>
      </c>
      <c r="C21" s="921"/>
      <c r="D21" s="920">
        <v>0</v>
      </c>
      <c r="E21" s="921"/>
      <c r="F21" s="920">
        <v>0</v>
      </c>
      <c r="G21" s="1048"/>
      <c r="H21" s="921"/>
      <c r="I21" s="105"/>
    </row>
    <row r="22" spans="1:9" ht="11.25" customHeight="1">
      <c r="A22" s="84" t="s">
        <v>174</v>
      </c>
      <c r="B22" s="920">
        <v>252890</v>
      </c>
      <c r="C22" s="921"/>
      <c r="D22" s="920">
        <v>108079.28</v>
      </c>
      <c r="E22" s="921"/>
      <c r="F22" s="920">
        <v>232533.11</v>
      </c>
      <c r="G22" s="1048"/>
      <c r="H22" s="921"/>
      <c r="I22" s="105"/>
    </row>
    <row r="23" spans="1:9" ht="11.25" customHeight="1">
      <c r="A23" s="84" t="s">
        <v>910</v>
      </c>
      <c r="B23" s="1007">
        <f>B24-ABS(B25)</f>
        <v>3135</v>
      </c>
      <c r="C23" s="1008"/>
      <c r="D23" s="1007">
        <f>D24-ABS(D25)</f>
        <v>0</v>
      </c>
      <c r="E23" s="1008"/>
      <c r="F23" s="1007">
        <f>F24-ABS(F25)</f>
        <v>0</v>
      </c>
      <c r="G23" s="1052"/>
      <c r="H23" s="1008"/>
      <c r="I23" s="105"/>
    </row>
    <row r="24" spans="1:9" ht="11.25" customHeight="1">
      <c r="A24" s="84" t="s">
        <v>402</v>
      </c>
      <c r="B24" s="920">
        <v>77330</v>
      </c>
      <c r="C24" s="921"/>
      <c r="D24" s="920">
        <v>21832.22</v>
      </c>
      <c r="E24" s="921"/>
      <c r="F24" s="920">
        <v>46711.15</v>
      </c>
      <c r="G24" s="1048"/>
      <c r="H24" s="921"/>
      <c r="I24" s="105"/>
    </row>
    <row r="25" spans="1:9" ht="11.25" customHeight="1">
      <c r="A25" s="84" t="s">
        <v>911</v>
      </c>
      <c r="B25" s="920">
        <v>74195</v>
      </c>
      <c r="C25" s="921"/>
      <c r="D25" s="920">
        <v>21832.22</v>
      </c>
      <c r="E25" s="921"/>
      <c r="F25" s="920">
        <v>46711.15</v>
      </c>
      <c r="G25" s="1048"/>
      <c r="H25" s="921"/>
      <c r="I25" s="105"/>
    </row>
    <row r="26" spans="1:9" ht="11.25" customHeight="1">
      <c r="A26" s="84" t="s">
        <v>198</v>
      </c>
      <c r="B26" s="1007">
        <f>SUM(B27:C31)</f>
        <v>12606585</v>
      </c>
      <c r="C26" s="1008"/>
      <c r="D26" s="1007">
        <f>SUM(D27:E31)</f>
        <v>7336608.71</v>
      </c>
      <c r="E26" s="1008"/>
      <c r="F26" s="1007">
        <f>SUM(F27:G31)</f>
        <v>6335121.31</v>
      </c>
      <c r="G26" s="1052"/>
      <c r="H26" s="1008"/>
      <c r="I26" s="105"/>
    </row>
    <row r="27" spans="1:9" ht="11.25" customHeight="1">
      <c r="A27" s="169" t="s">
        <v>912</v>
      </c>
      <c r="B27" s="920">
        <v>6172000</v>
      </c>
      <c r="C27" s="921"/>
      <c r="D27" s="920">
        <v>5563676.79</v>
      </c>
      <c r="E27" s="921"/>
      <c r="F27" s="920">
        <v>5380153.7</v>
      </c>
      <c r="G27" s="1048"/>
      <c r="H27" s="921"/>
      <c r="I27" s="105"/>
    </row>
    <row r="28" spans="1:9" ht="11.25" customHeight="1">
      <c r="A28" s="169" t="s">
        <v>913</v>
      </c>
      <c r="B28" s="920">
        <v>1151600</v>
      </c>
      <c r="C28" s="921"/>
      <c r="D28" s="920">
        <v>1689393.3</v>
      </c>
      <c r="E28" s="921"/>
      <c r="F28" s="920">
        <v>880935.72</v>
      </c>
      <c r="G28" s="1048"/>
      <c r="H28" s="921"/>
      <c r="I28" s="105"/>
    </row>
    <row r="29" spans="1:9" ht="11.25" customHeight="1">
      <c r="A29" s="169" t="s">
        <v>914</v>
      </c>
      <c r="B29" s="920">
        <v>157260</v>
      </c>
      <c r="C29" s="921"/>
      <c r="D29" s="920">
        <v>83538.62</v>
      </c>
      <c r="E29" s="921"/>
      <c r="F29" s="920">
        <v>44696.84</v>
      </c>
      <c r="G29" s="1048"/>
      <c r="H29" s="921"/>
      <c r="I29" s="105"/>
    </row>
    <row r="30" spans="1:9" ht="11.25" customHeight="1">
      <c r="A30" s="84" t="s">
        <v>915</v>
      </c>
      <c r="B30" s="920">
        <v>5125725</v>
      </c>
      <c r="C30" s="921"/>
      <c r="D30" s="920">
        <v>0</v>
      </c>
      <c r="E30" s="921"/>
      <c r="F30" s="920">
        <v>29335.05</v>
      </c>
      <c r="G30" s="1048"/>
      <c r="H30" s="921"/>
      <c r="I30" s="105"/>
    </row>
    <row r="31" spans="1:9" ht="11.25" customHeight="1">
      <c r="A31" s="84" t="s">
        <v>916</v>
      </c>
      <c r="B31" s="920"/>
      <c r="C31" s="921"/>
      <c r="D31" s="920"/>
      <c r="E31" s="921"/>
      <c r="F31" s="920"/>
      <c r="G31" s="1048"/>
      <c r="H31" s="921"/>
      <c r="I31" s="105"/>
    </row>
    <row r="32" spans="1:9" ht="11.25" customHeight="1">
      <c r="A32" s="84" t="s">
        <v>917</v>
      </c>
      <c r="B32" s="1007">
        <f>SUM(B33:C34)</f>
        <v>16720</v>
      </c>
      <c r="C32" s="1008"/>
      <c r="D32" s="1007">
        <f>SUM(D33:E34)</f>
        <v>0</v>
      </c>
      <c r="E32" s="1008"/>
      <c r="F32" s="1007">
        <f>SUM(F33:G34)</f>
        <v>90087.06</v>
      </c>
      <c r="G32" s="1052"/>
      <c r="H32" s="1008"/>
      <c r="I32" s="105"/>
    </row>
    <row r="33" spans="1:9" ht="11.25" customHeight="1">
      <c r="A33" s="84" t="s">
        <v>918</v>
      </c>
      <c r="B33" s="920">
        <v>2090</v>
      </c>
      <c r="C33" s="921"/>
      <c r="D33" s="920">
        <v>0</v>
      </c>
      <c r="E33" s="921"/>
      <c r="F33" s="920">
        <v>0</v>
      </c>
      <c r="G33" s="1048"/>
      <c r="H33" s="921"/>
      <c r="I33" s="105"/>
    </row>
    <row r="34" spans="1:9" ht="11.25" customHeight="1">
      <c r="A34" s="84" t="s">
        <v>919</v>
      </c>
      <c r="B34" s="920">
        <v>14630</v>
      </c>
      <c r="C34" s="921"/>
      <c r="D34" s="920">
        <v>0</v>
      </c>
      <c r="E34" s="921"/>
      <c r="F34" s="920">
        <v>90087.06</v>
      </c>
      <c r="G34" s="1048"/>
      <c r="H34" s="921"/>
      <c r="I34" s="105"/>
    </row>
    <row r="35" spans="1:9" ht="11.25" customHeight="1">
      <c r="A35" s="84" t="s">
        <v>920</v>
      </c>
      <c r="B35" s="1007">
        <f>SUM(B36:C39,B42)</f>
        <v>1469328</v>
      </c>
      <c r="C35" s="1008"/>
      <c r="D35" s="1007">
        <f>SUM(D36:E39,D42)</f>
        <v>85165.08</v>
      </c>
      <c r="E35" s="1008"/>
      <c r="F35" s="1007">
        <f>SUM(F36:G39,F42)</f>
        <v>27613.88</v>
      </c>
      <c r="G35" s="1052"/>
      <c r="H35" s="1008"/>
      <c r="I35" s="105"/>
    </row>
    <row r="36" spans="1:9" ht="11.25" customHeight="1">
      <c r="A36" s="84" t="s">
        <v>921</v>
      </c>
      <c r="B36" s="920">
        <v>1045</v>
      </c>
      <c r="C36" s="921"/>
      <c r="D36" s="920">
        <v>0</v>
      </c>
      <c r="E36" s="921"/>
      <c r="F36" s="920">
        <v>0</v>
      </c>
      <c r="G36" s="1048"/>
      <c r="H36" s="921"/>
      <c r="I36" s="105"/>
    </row>
    <row r="37" spans="1:9" ht="11.25" customHeight="1">
      <c r="A37" s="84" t="s">
        <v>922</v>
      </c>
      <c r="B37" s="920">
        <v>0</v>
      </c>
      <c r="C37" s="921"/>
      <c r="D37" s="920">
        <v>0</v>
      </c>
      <c r="E37" s="921"/>
      <c r="F37" s="920">
        <v>0</v>
      </c>
      <c r="G37" s="1048"/>
      <c r="H37" s="921"/>
      <c r="I37" s="105"/>
    </row>
    <row r="38" spans="1:9" s="164" customFormat="1" ht="11.25" customHeight="1">
      <c r="A38" s="84" t="s">
        <v>923</v>
      </c>
      <c r="B38" s="920">
        <v>2090</v>
      </c>
      <c r="C38" s="921"/>
      <c r="D38" s="920">
        <v>0</v>
      </c>
      <c r="E38" s="921"/>
      <c r="F38" s="920">
        <v>0</v>
      </c>
      <c r="G38" s="1048"/>
      <c r="H38" s="921"/>
      <c r="I38" s="105"/>
    </row>
    <row r="39" spans="1:9" ht="11.25" customHeight="1">
      <c r="A39" s="84" t="s">
        <v>924</v>
      </c>
      <c r="B39" s="1007">
        <f>SUM(B40:C41)</f>
        <v>1464730</v>
      </c>
      <c r="C39" s="1008"/>
      <c r="D39" s="1007">
        <f>SUM(D40:E41)</f>
        <v>85165.08</v>
      </c>
      <c r="E39" s="1008"/>
      <c r="F39" s="1007">
        <f>SUM(F40:G41)</f>
        <v>19331.52</v>
      </c>
      <c r="G39" s="1052"/>
      <c r="H39" s="1008"/>
      <c r="I39" s="105"/>
    </row>
    <row r="40" spans="1:9" ht="11.25" customHeight="1">
      <c r="A40" s="84" t="s">
        <v>915</v>
      </c>
      <c r="B40" s="920">
        <v>1021940</v>
      </c>
      <c r="C40" s="921"/>
      <c r="D40" s="920">
        <v>85165.08</v>
      </c>
      <c r="E40" s="921"/>
      <c r="F40" s="920">
        <v>19331.52</v>
      </c>
      <c r="G40" s="1048"/>
      <c r="H40" s="921"/>
      <c r="I40" s="105"/>
    </row>
    <row r="41" spans="1:9" ht="11.25" customHeight="1">
      <c r="A41" s="84" t="s">
        <v>925</v>
      </c>
      <c r="B41" s="920">
        <v>442790</v>
      </c>
      <c r="C41" s="921"/>
      <c r="D41" s="920">
        <v>0</v>
      </c>
      <c r="E41" s="921"/>
      <c r="F41" s="920">
        <v>0</v>
      </c>
      <c r="G41" s="1048"/>
      <c r="H41" s="921"/>
      <c r="I41" s="105"/>
    </row>
    <row r="42" spans="1:9" ht="11.25" customHeight="1">
      <c r="A42" s="84" t="s">
        <v>245</v>
      </c>
      <c r="B42" s="920">
        <v>1463</v>
      </c>
      <c r="C42" s="921"/>
      <c r="D42" s="920">
        <v>0</v>
      </c>
      <c r="E42" s="921"/>
      <c r="F42" s="920">
        <v>8282.36</v>
      </c>
      <c r="G42" s="1048"/>
      <c r="H42" s="921"/>
      <c r="I42" s="105"/>
    </row>
    <row r="43" spans="1:9" ht="11.25" customHeight="1">
      <c r="A43" s="84" t="s">
        <v>926</v>
      </c>
      <c r="B43" s="1007">
        <f>B35-B36-B37-B38</f>
        <v>1466193</v>
      </c>
      <c r="C43" s="1008"/>
      <c r="D43" s="1007">
        <f>D35-D36-D37-D38</f>
        <v>85165.08</v>
      </c>
      <c r="E43" s="1008"/>
      <c r="F43" s="1043">
        <f>F35-F36-F37-F38</f>
        <v>27613.88</v>
      </c>
      <c r="G43" s="1044"/>
      <c r="H43" s="1045"/>
      <c r="I43" s="105"/>
    </row>
    <row r="44" spans="1:9" ht="11.25" customHeight="1">
      <c r="A44" s="170" t="s">
        <v>927</v>
      </c>
      <c r="B44" s="952">
        <f>B13+B43</f>
        <v>19028408</v>
      </c>
      <c r="C44" s="954"/>
      <c r="D44" s="952">
        <f>D13+D43</f>
        <v>10584447.99</v>
      </c>
      <c r="E44" s="954"/>
      <c r="F44" s="952">
        <f>F13+F43</f>
        <v>12630365.190000001</v>
      </c>
      <c r="G44" s="953"/>
      <c r="H44" s="954"/>
      <c r="I44" s="171"/>
    </row>
    <row r="45" spans="1:4" ht="11.25" customHeight="1">
      <c r="A45" s="158"/>
      <c r="B45" s="172"/>
      <c r="C45" s="144"/>
      <c r="D45" s="144"/>
    </row>
    <row r="46" spans="1:8" ht="41.25" customHeight="1">
      <c r="A46" s="1049" t="s">
        <v>928</v>
      </c>
      <c r="B46" s="812" t="s">
        <v>283</v>
      </c>
      <c r="C46" s="986" t="s">
        <v>176</v>
      </c>
      <c r="D46" s="986"/>
      <c r="E46" s="961" t="s">
        <v>177</v>
      </c>
      <c r="F46" s="962"/>
      <c r="G46" s="961" t="s">
        <v>414</v>
      </c>
      <c r="H46" s="962"/>
    </row>
    <row r="47" spans="1:8" ht="15" customHeight="1">
      <c r="A47" s="1050"/>
      <c r="B47" s="813"/>
      <c r="C47" s="211" t="s">
        <v>240</v>
      </c>
      <c r="D47" s="211" t="s">
        <v>240</v>
      </c>
      <c r="E47" s="211" t="s">
        <v>240</v>
      </c>
      <c r="F47" s="209" t="s">
        <v>240</v>
      </c>
      <c r="G47" s="216" t="s">
        <v>989</v>
      </c>
      <c r="H47" s="216" t="s">
        <v>989</v>
      </c>
    </row>
    <row r="48" spans="1:8" ht="12.75">
      <c r="A48" s="1051"/>
      <c r="B48" s="814"/>
      <c r="C48" s="210">
        <f>+$D$12</f>
        <v>2016</v>
      </c>
      <c r="D48" s="208">
        <f>+$F$12</f>
        <v>2015</v>
      </c>
      <c r="E48" s="210">
        <f>+$D$12</f>
        <v>2016</v>
      </c>
      <c r="F48" s="208">
        <f>+$F$12</f>
        <v>2015</v>
      </c>
      <c r="G48" s="210">
        <f>+$D$12</f>
        <v>2016</v>
      </c>
      <c r="H48" s="217">
        <f>+$F$12</f>
        <v>2015</v>
      </c>
    </row>
    <row r="49" spans="1:8" ht="11.25" customHeight="1">
      <c r="A49" s="84" t="s">
        <v>929</v>
      </c>
      <c r="B49" s="173">
        <f aca="true" t="shared" si="0" ref="B49:H49">SUM(B50:B52)</f>
        <v>30383981.5</v>
      </c>
      <c r="C49" s="173">
        <f t="shared" si="0"/>
        <v>15900532.77</v>
      </c>
      <c r="D49" s="173">
        <f t="shared" si="0"/>
        <v>18255926.61</v>
      </c>
      <c r="E49" s="173">
        <f t="shared" si="0"/>
        <v>15900532.77</v>
      </c>
      <c r="F49" s="173">
        <f t="shared" si="0"/>
        <v>17255926.310000002</v>
      </c>
      <c r="G49" s="173">
        <f t="shared" si="0"/>
        <v>0</v>
      </c>
      <c r="H49" s="173">
        <f t="shared" si="0"/>
        <v>0</v>
      </c>
    </row>
    <row r="50" spans="1:8" ht="11.25" customHeight="1">
      <c r="A50" s="84" t="s">
        <v>248</v>
      </c>
      <c r="B50" s="332">
        <v>16007982</v>
      </c>
      <c r="C50" s="332">
        <v>7965155.88</v>
      </c>
      <c r="D50" s="332">
        <v>9898955.55</v>
      </c>
      <c r="E50" s="332">
        <v>7965155.88</v>
      </c>
      <c r="F50" s="332">
        <v>8898955.55</v>
      </c>
      <c r="G50" s="332">
        <v>0</v>
      </c>
      <c r="H50" s="332">
        <v>0</v>
      </c>
    </row>
    <row r="51" spans="1:8" ht="11.25" customHeight="1">
      <c r="A51" s="84" t="s">
        <v>930</v>
      </c>
      <c r="B51" s="340">
        <v>36712</v>
      </c>
      <c r="C51" s="340">
        <v>0</v>
      </c>
      <c r="D51" s="340">
        <v>0</v>
      </c>
      <c r="E51" s="340">
        <v>0</v>
      </c>
      <c r="F51" s="340">
        <v>0</v>
      </c>
      <c r="G51" s="340">
        <v>0</v>
      </c>
      <c r="H51" s="340">
        <v>0</v>
      </c>
    </row>
    <row r="52" spans="1:8" ht="11.25" customHeight="1">
      <c r="A52" s="84" t="s">
        <v>249</v>
      </c>
      <c r="B52" s="332">
        <v>14339287.5</v>
      </c>
      <c r="C52" s="332">
        <v>7935376.89</v>
      </c>
      <c r="D52" s="332">
        <v>8356971.06</v>
      </c>
      <c r="E52" s="332">
        <v>7935376.89</v>
      </c>
      <c r="F52" s="332">
        <v>8356970.76</v>
      </c>
      <c r="G52" s="332">
        <v>0</v>
      </c>
      <c r="H52" s="332">
        <v>0</v>
      </c>
    </row>
    <row r="53" spans="1:8" ht="11.25" customHeight="1">
      <c r="A53" s="84" t="s">
        <v>931</v>
      </c>
      <c r="B53" s="173">
        <f aca="true" t="shared" si="1" ref="B53:H53">B49-B51</f>
        <v>30347269.5</v>
      </c>
      <c r="C53" s="173">
        <f t="shared" si="1"/>
        <v>15900532.77</v>
      </c>
      <c r="D53" s="173">
        <f t="shared" si="1"/>
        <v>18255926.61</v>
      </c>
      <c r="E53" s="173">
        <f t="shared" si="1"/>
        <v>15900532.77</v>
      </c>
      <c r="F53" s="173">
        <f t="shared" si="1"/>
        <v>17255926.310000002</v>
      </c>
      <c r="G53" s="173">
        <f t="shared" si="1"/>
        <v>0</v>
      </c>
      <c r="H53" s="173">
        <f t="shared" si="1"/>
        <v>0</v>
      </c>
    </row>
    <row r="54" spans="1:8" ht="11.25" customHeight="1">
      <c r="A54" s="83" t="s">
        <v>932</v>
      </c>
      <c r="B54" s="174">
        <f aca="true" t="shared" si="2" ref="B54:H54">SUM(B55:B56,B60)</f>
        <v>11535746.62</v>
      </c>
      <c r="C54" s="174">
        <f t="shared" si="2"/>
        <v>2857378.21</v>
      </c>
      <c r="D54" s="174">
        <f t="shared" si="2"/>
        <v>983923.67</v>
      </c>
      <c r="E54" s="174">
        <f t="shared" si="2"/>
        <v>2137880.59</v>
      </c>
      <c r="F54" s="174">
        <f t="shared" si="2"/>
        <v>983923.67</v>
      </c>
      <c r="G54" s="174">
        <f t="shared" si="2"/>
        <v>0</v>
      </c>
      <c r="H54" s="174">
        <f t="shared" si="2"/>
        <v>0</v>
      </c>
    </row>
    <row r="55" spans="1:8" ht="11.25" customHeight="1">
      <c r="A55" s="84" t="s">
        <v>896</v>
      </c>
      <c r="B55" s="340">
        <v>11098266.62</v>
      </c>
      <c r="C55" s="340">
        <v>2763608.82</v>
      </c>
      <c r="D55" s="340">
        <v>884829.77</v>
      </c>
      <c r="E55" s="340">
        <v>2044111.2</v>
      </c>
      <c r="F55" s="340">
        <v>884829.77</v>
      </c>
      <c r="G55" s="340">
        <v>0</v>
      </c>
      <c r="H55" s="340">
        <v>0</v>
      </c>
    </row>
    <row r="56" spans="1:8" ht="11.25" customHeight="1">
      <c r="A56" s="84" t="s">
        <v>296</v>
      </c>
      <c r="B56" s="173">
        <f aca="true" t="shared" si="3" ref="B56:H56">SUM(B57:B59)</f>
        <v>337280</v>
      </c>
      <c r="C56" s="173">
        <f t="shared" si="3"/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</row>
    <row r="57" spans="1:8" ht="11.25" customHeight="1">
      <c r="A57" s="84" t="s">
        <v>933</v>
      </c>
      <c r="B57" s="340">
        <v>0</v>
      </c>
      <c r="C57" s="340">
        <v>0</v>
      </c>
      <c r="D57" s="340">
        <v>0</v>
      </c>
      <c r="E57" s="340">
        <v>0</v>
      </c>
      <c r="F57" s="340">
        <v>0</v>
      </c>
      <c r="G57" s="340">
        <v>0</v>
      </c>
      <c r="H57" s="340">
        <v>0</v>
      </c>
    </row>
    <row r="58" spans="1:8" ht="11.25" customHeight="1">
      <c r="A58" s="84" t="s">
        <v>934</v>
      </c>
      <c r="B58" s="340">
        <v>0</v>
      </c>
      <c r="C58" s="340">
        <v>0</v>
      </c>
      <c r="D58" s="340">
        <v>0</v>
      </c>
      <c r="E58" s="340">
        <v>0</v>
      </c>
      <c r="F58" s="340">
        <v>0</v>
      </c>
      <c r="G58" s="340">
        <v>0</v>
      </c>
      <c r="H58" s="340">
        <v>0</v>
      </c>
    </row>
    <row r="59" spans="1:8" ht="11.25" customHeight="1">
      <c r="A59" s="84" t="s">
        <v>935</v>
      </c>
      <c r="B59" s="340">
        <v>337280</v>
      </c>
      <c r="C59" s="340">
        <v>0</v>
      </c>
      <c r="D59" s="340">
        <v>0</v>
      </c>
      <c r="E59" s="340">
        <v>0</v>
      </c>
      <c r="F59" s="340">
        <v>0</v>
      </c>
      <c r="G59" s="340">
        <v>0</v>
      </c>
      <c r="H59" s="340">
        <v>0</v>
      </c>
    </row>
    <row r="60" spans="1:8" ht="11.25" customHeight="1">
      <c r="A60" s="84" t="s">
        <v>936</v>
      </c>
      <c r="B60" s="340">
        <v>100200</v>
      </c>
      <c r="C60" s="340">
        <v>93769.39</v>
      </c>
      <c r="D60" s="340">
        <v>99093.9</v>
      </c>
      <c r="E60" s="340">
        <v>93769.39</v>
      </c>
      <c r="F60" s="340">
        <v>99093.9</v>
      </c>
      <c r="G60" s="340">
        <v>0</v>
      </c>
      <c r="H60" s="340">
        <v>0</v>
      </c>
    </row>
    <row r="61" spans="1:8" ht="11.25" customHeight="1">
      <c r="A61" s="83" t="s">
        <v>937</v>
      </c>
      <c r="B61" s="174">
        <f aca="true" t="shared" si="4" ref="B61:H61">B54-B57-B58-B60</f>
        <v>11435546.62</v>
      </c>
      <c r="C61" s="174">
        <f t="shared" si="4"/>
        <v>2763608.82</v>
      </c>
      <c r="D61" s="174">
        <f t="shared" si="4"/>
        <v>884829.77</v>
      </c>
      <c r="E61" s="174">
        <f t="shared" si="4"/>
        <v>2044111.2</v>
      </c>
      <c r="F61" s="174">
        <f t="shared" si="4"/>
        <v>884829.77</v>
      </c>
      <c r="G61" s="174">
        <f t="shared" si="4"/>
        <v>0</v>
      </c>
      <c r="H61" s="174">
        <f t="shared" si="4"/>
        <v>0</v>
      </c>
    </row>
    <row r="62" spans="1:8" ht="11.25" customHeight="1">
      <c r="A62" s="83" t="s">
        <v>938</v>
      </c>
      <c r="B62" s="340"/>
      <c r="C62" s="175"/>
      <c r="D62" s="175"/>
      <c r="E62" s="175"/>
      <c r="F62" s="175"/>
      <c r="G62" s="175"/>
      <c r="H62" s="175"/>
    </row>
    <row r="63" spans="1:8" ht="11.25" customHeight="1">
      <c r="A63" s="83" t="s">
        <v>939</v>
      </c>
      <c r="B63" s="340"/>
      <c r="C63" s="175"/>
      <c r="D63" s="175"/>
      <c r="E63" s="175"/>
      <c r="F63" s="175"/>
      <c r="G63" s="175"/>
      <c r="H63" s="175"/>
    </row>
    <row r="64" spans="1:8" ht="11.25" customHeight="1">
      <c r="A64" s="176" t="s">
        <v>940</v>
      </c>
      <c r="B64" s="177">
        <f>B53+B61+B62+B63</f>
        <v>41782816.12</v>
      </c>
      <c r="C64" s="177">
        <f aca="true" t="shared" si="5" ref="C64:H64">C53+C61+C62+C63</f>
        <v>18664141.59</v>
      </c>
      <c r="D64" s="177">
        <f t="shared" si="5"/>
        <v>19140756.38</v>
      </c>
      <c r="E64" s="177">
        <f t="shared" si="5"/>
        <v>17944643.97</v>
      </c>
      <c r="F64" s="177">
        <f t="shared" si="5"/>
        <v>18140756.080000002</v>
      </c>
      <c r="G64" s="177">
        <f t="shared" si="5"/>
        <v>0</v>
      </c>
      <c r="H64" s="177">
        <f t="shared" si="5"/>
        <v>0</v>
      </c>
    </row>
    <row r="65" spans="1:8" ht="11.25" customHeight="1">
      <c r="A65" s="178"/>
      <c r="B65" s="172"/>
      <c r="C65" s="157"/>
      <c r="D65" s="154"/>
      <c r="F65" s="162"/>
      <c r="H65" s="162"/>
    </row>
    <row r="66" spans="1:8" ht="11.25" customHeight="1">
      <c r="A66" s="176" t="s">
        <v>941</v>
      </c>
      <c r="B66" s="179">
        <f>B44-B64</f>
        <v>-22754408.119999997</v>
      </c>
      <c r="C66" s="180">
        <f>$D44-C64</f>
        <v>-8079693.6</v>
      </c>
      <c r="D66" s="181">
        <f>$F44-D64</f>
        <v>-6510391.189999998</v>
      </c>
      <c r="E66" s="180">
        <f>$D44-E64</f>
        <v>-7360195.979999999</v>
      </c>
      <c r="F66" s="181">
        <f>$F44-F64</f>
        <v>-5510390.890000001</v>
      </c>
      <c r="G66" s="180">
        <f>$D44-G64</f>
        <v>10584447.99</v>
      </c>
      <c r="H66" s="181">
        <f>$F44-H64</f>
        <v>12630365.190000001</v>
      </c>
    </row>
    <row r="67" spans="1:8" ht="11.25" customHeight="1">
      <c r="A67" s="178"/>
      <c r="B67" s="172"/>
      <c r="C67" s="157"/>
      <c r="D67" s="154"/>
      <c r="F67" s="162"/>
      <c r="H67" s="162"/>
    </row>
    <row r="68" spans="1:8" ht="11.25" customHeight="1">
      <c r="A68" s="176" t="s">
        <v>942</v>
      </c>
      <c r="B68" s="175"/>
      <c r="C68" s="741"/>
      <c r="D68" s="742"/>
      <c r="E68" s="743"/>
      <c r="F68" s="744"/>
      <c r="G68" s="744"/>
      <c r="H68" s="745"/>
    </row>
    <row r="69" spans="1:4" ht="11.25" customHeight="1">
      <c r="A69" s="84"/>
      <c r="B69" s="144"/>
      <c r="C69" s="144"/>
      <c r="D69" s="182"/>
    </row>
    <row r="70" spans="1:8" ht="11.25" customHeight="1">
      <c r="A70" s="1057" t="s">
        <v>886</v>
      </c>
      <c r="B70" s="1058"/>
      <c r="C70" s="1058"/>
      <c r="D70" s="1059"/>
      <c r="E70" s="892" t="s">
        <v>887</v>
      </c>
      <c r="F70" s="893"/>
      <c r="G70" s="893"/>
      <c r="H70" s="894"/>
    </row>
    <row r="71" spans="1:8" ht="11.25" customHeight="1">
      <c r="A71" s="1060"/>
      <c r="B71" s="1061"/>
      <c r="C71" s="1061"/>
      <c r="D71" s="1062"/>
      <c r="E71" s="907"/>
      <c r="F71" s="908"/>
      <c r="G71" s="908"/>
      <c r="H71" s="909"/>
    </row>
    <row r="72" spans="1:8" ht="11.25" customHeight="1">
      <c r="A72" s="1046" t="s">
        <v>943</v>
      </c>
      <c r="B72" s="1046"/>
      <c r="C72" s="1046"/>
      <c r="D72" s="1047"/>
      <c r="E72" s="1040">
        <v>0</v>
      </c>
      <c r="F72" s="1041"/>
      <c r="G72" s="1041"/>
      <c r="H72" s="1042"/>
    </row>
    <row r="73" spans="1:8" ht="13.5" customHeight="1">
      <c r="A73" s="903" t="s">
        <v>1041</v>
      </c>
      <c r="B73" s="903"/>
      <c r="C73" s="903"/>
      <c r="D73" s="903"/>
      <c r="E73" s="903"/>
      <c r="F73" s="903"/>
      <c r="G73" s="903"/>
      <c r="H73" s="903"/>
    </row>
    <row r="74" spans="1:4" ht="11.25" customHeight="1">
      <c r="A74" s="162"/>
      <c r="B74" s="162"/>
      <c r="D74" s="162"/>
    </row>
    <row r="76" spans="1:4" s="162" customFormat="1" ht="11.25" customHeight="1">
      <c r="A76" s="161"/>
      <c r="B76" s="161"/>
      <c r="D76" s="161"/>
    </row>
  </sheetData>
  <sheetProtection password="C236" sheet="1" objects="1" scenarios="1" formatColumns="0" selectLockedCells="1"/>
  <mergeCells count="117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  <mergeCell ref="A72:D72"/>
  </mergeCells>
  <printOptions horizontalCentered="1"/>
  <pageMargins left="0.3937007874015748" right="0.1968503937007874" top="1.1811023622047245" bottom="0.3937007874015748" header="0.1968503937007874" footer="0.1968503937007874"/>
  <pageSetup horizontalDpi="600" verticalDpi="600" orientation="landscape" paperSize="9" scale="90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5" zoomScaleNormal="115" zoomScalePageLayoutView="0" workbookViewId="0" topLeftCell="A1">
      <selection activeCell="C14" sqref="C14:C15"/>
    </sheetView>
  </sheetViews>
  <sheetFormatPr defaultColWidth="3.28125" defaultRowHeight="11.25" customHeight="1"/>
  <cols>
    <col min="1" max="1" width="51.00390625" style="83" customWidth="1"/>
    <col min="2" max="2" width="10.8515625" style="83" customWidth="1"/>
    <col min="3" max="3" width="12.140625" style="83" customWidth="1"/>
    <col min="4" max="4" width="9.00390625" style="83" customWidth="1"/>
    <col min="5" max="5" width="10.421875" style="83" customWidth="1"/>
    <col min="6" max="6" width="8.28125" style="83" customWidth="1"/>
    <col min="7" max="7" width="10.8515625" style="83" customWidth="1"/>
    <col min="8" max="8" width="11.7109375" style="83" customWidth="1"/>
    <col min="9" max="9" width="11.28125" style="83" customWidth="1"/>
    <col min="10" max="10" width="8.28125" style="83" customWidth="1"/>
    <col min="11" max="11" width="11.28125" style="83" customWidth="1"/>
    <col min="12" max="12" width="8.421875" style="83" customWidth="1"/>
    <col min="13" max="13" width="12.00390625" style="41" customWidth="1"/>
    <col min="14" max="16384" width="3.28125" style="41" customWidth="1"/>
  </cols>
  <sheetData>
    <row r="1" spans="1:12" s="184" customFormat="1" ht="15.75">
      <c r="A1" s="138" t="s">
        <v>439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ht="12.75"/>
    <row r="3" spans="1:12" ht="12.75">
      <c r="A3" s="886" t="str">
        <f>+'Informações Iniciais'!A1:B1</f>
        <v>PODER EXECUTIVO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</row>
    <row r="4" spans="1:12" ht="12.75">
      <c r="A4" s="886" t="s">
        <v>109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</row>
    <row r="5" spans="1:12" ht="12.75">
      <c r="A5" s="885" t="s">
        <v>253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</row>
    <row r="6" spans="1:12" ht="12.75">
      <c r="A6" s="886" t="s">
        <v>111</v>
      </c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</row>
    <row r="7" spans="1:12" ht="12.75">
      <c r="A7" s="886" t="str">
        <f>+'Informações Iniciais'!A5:B5</f>
        <v>5º Bimestre de 2016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</row>
    <row r="8" spans="1:12" ht="12.75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81" t="s">
        <v>440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25" customHeight="1">
      <c r="A10" s="894" t="s">
        <v>255</v>
      </c>
      <c r="B10" s="855" t="s">
        <v>682</v>
      </c>
      <c r="C10" s="856"/>
      <c r="D10" s="856"/>
      <c r="E10" s="856"/>
      <c r="F10" s="857"/>
      <c r="G10" s="898" t="s">
        <v>403</v>
      </c>
      <c r="H10" s="1074"/>
      <c r="I10" s="1074"/>
      <c r="J10" s="1074"/>
      <c r="K10" s="1074"/>
      <c r="L10" s="1075"/>
      <c r="M10" s="1066" t="s">
        <v>675</v>
      </c>
    </row>
    <row r="11" spans="1:13" ht="12.75">
      <c r="A11" s="915"/>
      <c r="B11" s="1068" t="s">
        <v>254</v>
      </c>
      <c r="C11" s="1068"/>
      <c r="D11" s="901" t="s">
        <v>257</v>
      </c>
      <c r="E11" s="901" t="s">
        <v>256</v>
      </c>
      <c r="F11" s="1070" t="s">
        <v>638</v>
      </c>
      <c r="G11" s="864" t="s">
        <v>254</v>
      </c>
      <c r="H11" s="1069"/>
      <c r="I11" s="901" t="s">
        <v>639</v>
      </c>
      <c r="J11" s="901" t="s">
        <v>257</v>
      </c>
      <c r="K11" s="185"/>
      <c r="L11" s="1070" t="s">
        <v>638</v>
      </c>
      <c r="M11" s="1064"/>
    </row>
    <row r="12" spans="1:13" ht="12.75">
      <c r="A12" s="915"/>
      <c r="B12" s="1066" t="s">
        <v>995</v>
      </c>
      <c r="C12" s="1066" t="s">
        <v>996</v>
      </c>
      <c r="D12" s="1067"/>
      <c r="E12" s="1067"/>
      <c r="F12" s="1071"/>
      <c r="G12" s="1066" t="s">
        <v>995</v>
      </c>
      <c r="H12" s="1066" t="s">
        <v>996</v>
      </c>
      <c r="I12" s="1067"/>
      <c r="J12" s="1067"/>
      <c r="K12" s="186"/>
      <c r="L12" s="1071"/>
      <c r="M12" s="1064"/>
    </row>
    <row r="13" spans="1:13" ht="12.75">
      <c r="A13" s="915"/>
      <c r="B13" s="1064"/>
      <c r="C13" s="1064"/>
      <c r="D13" s="1067"/>
      <c r="E13" s="1067"/>
      <c r="F13" s="1071"/>
      <c r="G13" s="1064"/>
      <c r="H13" s="1064"/>
      <c r="I13" s="1067"/>
      <c r="J13" s="1067"/>
      <c r="K13" s="187" t="s">
        <v>256</v>
      </c>
      <c r="L13" s="1071"/>
      <c r="M13" s="1064"/>
    </row>
    <row r="14" spans="1:13" ht="12.75">
      <c r="A14" s="915"/>
      <c r="B14" s="1064"/>
      <c r="C14" s="1072">
        <v>2015</v>
      </c>
      <c r="D14" s="1067"/>
      <c r="E14" s="1067"/>
      <c r="F14" s="1071"/>
      <c r="G14" s="1064"/>
      <c r="H14" s="1064">
        <f>+C14</f>
        <v>2015</v>
      </c>
      <c r="I14" s="1067"/>
      <c r="J14" s="1067"/>
      <c r="K14" s="186"/>
      <c r="L14" s="1071"/>
      <c r="M14" s="1064"/>
    </row>
    <row r="15" spans="1:13" s="190" customFormat="1" ht="12.75">
      <c r="A15" s="909"/>
      <c r="B15" s="1065"/>
      <c r="C15" s="1073"/>
      <c r="D15" s="902"/>
      <c r="E15" s="902"/>
      <c r="F15" s="188" t="s">
        <v>120</v>
      </c>
      <c r="G15" s="1065"/>
      <c r="H15" s="1065"/>
      <c r="I15" s="902"/>
      <c r="J15" s="902"/>
      <c r="K15" s="189"/>
      <c r="L15" s="188" t="s">
        <v>121</v>
      </c>
      <c r="M15" s="1065"/>
    </row>
    <row r="16" spans="1:13" ht="12.75">
      <c r="A16" s="72" t="s">
        <v>105</v>
      </c>
      <c r="B16" s="191">
        <f>B18+B20+B22+B24</f>
        <v>0</v>
      </c>
      <c r="C16" s="191">
        <f aca="true" t="shared" si="0" ref="C16:M16">C18+C20+C22+C24</f>
        <v>423</v>
      </c>
      <c r="D16" s="191">
        <f t="shared" si="0"/>
        <v>0</v>
      </c>
      <c r="E16" s="191">
        <f t="shared" si="0"/>
        <v>0</v>
      </c>
      <c r="F16" s="191">
        <f t="shared" si="0"/>
        <v>423</v>
      </c>
      <c r="G16" s="191">
        <f t="shared" si="0"/>
        <v>0</v>
      </c>
      <c r="H16" s="191">
        <f t="shared" si="0"/>
        <v>0</v>
      </c>
      <c r="I16" s="191">
        <f t="shared" si="0"/>
        <v>0</v>
      </c>
      <c r="J16" s="191">
        <f t="shared" si="0"/>
        <v>0</v>
      </c>
      <c r="K16" s="191">
        <f t="shared" si="0"/>
        <v>0</v>
      </c>
      <c r="L16" s="191">
        <f t="shared" si="0"/>
        <v>0</v>
      </c>
      <c r="M16" s="191">
        <f t="shared" si="0"/>
        <v>423</v>
      </c>
    </row>
    <row r="17" spans="1:13" ht="12.75">
      <c r="A17" s="72"/>
      <c r="B17" s="192"/>
      <c r="C17" s="193"/>
      <c r="D17" s="193"/>
      <c r="E17" s="193"/>
      <c r="F17" s="193"/>
      <c r="G17" s="193"/>
      <c r="H17" s="193"/>
      <c r="I17" s="193"/>
      <c r="J17" s="193"/>
      <c r="K17" s="194"/>
      <c r="L17" s="194"/>
      <c r="M17" s="195"/>
    </row>
    <row r="18" spans="1:13" ht="12.75">
      <c r="A18" s="72" t="s">
        <v>681</v>
      </c>
      <c r="B18" s="337">
        <v>0</v>
      </c>
      <c r="C18" s="337">
        <v>423</v>
      </c>
      <c r="D18" s="337">
        <v>0</v>
      </c>
      <c r="E18" s="337">
        <v>0</v>
      </c>
      <c r="F18" s="337">
        <v>423</v>
      </c>
      <c r="G18" s="337">
        <v>0</v>
      </c>
      <c r="H18" s="337">
        <v>0</v>
      </c>
      <c r="I18" s="337">
        <v>0</v>
      </c>
      <c r="J18" s="337">
        <v>0</v>
      </c>
      <c r="K18" s="336"/>
      <c r="L18" s="336">
        <v>0</v>
      </c>
      <c r="M18" s="191">
        <f>F18+L18</f>
        <v>423</v>
      </c>
    </row>
    <row r="19" spans="1:13" ht="12.75">
      <c r="A19" s="72"/>
      <c r="B19" s="192"/>
      <c r="C19" s="193"/>
      <c r="D19" s="193"/>
      <c r="E19" s="193"/>
      <c r="F19" s="193"/>
      <c r="G19" s="193"/>
      <c r="H19" s="193"/>
      <c r="I19" s="193"/>
      <c r="J19" s="193"/>
      <c r="K19" s="194"/>
      <c r="L19" s="194"/>
      <c r="M19" s="195"/>
    </row>
    <row r="20" spans="1:13" ht="12.75">
      <c r="A20" s="72" t="s">
        <v>683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6"/>
      <c r="L20" s="336"/>
      <c r="M20" s="191">
        <f>F20+L20</f>
        <v>0</v>
      </c>
    </row>
    <row r="21" spans="1:13" ht="12.75">
      <c r="A21" s="72"/>
      <c r="B21" s="196"/>
      <c r="C21" s="197"/>
      <c r="D21" s="198"/>
      <c r="E21" s="198"/>
      <c r="F21" s="197"/>
      <c r="G21" s="199"/>
      <c r="H21" s="199"/>
      <c r="I21" s="199"/>
      <c r="J21" s="199"/>
      <c r="K21" s="199"/>
      <c r="L21" s="199"/>
      <c r="M21" s="195"/>
    </row>
    <row r="22" spans="1:13" ht="12.75">
      <c r="A22" s="72" t="s">
        <v>684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6"/>
      <c r="L22" s="336"/>
      <c r="M22" s="191">
        <f>F22+L22</f>
        <v>0</v>
      </c>
    </row>
    <row r="23" spans="1:13" ht="12.75">
      <c r="A23" s="72"/>
      <c r="B23" s="192"/>
      <c r="C23" s="193"/>
      <c r="D23" s="193"/>
      <c r="E23" s="193"/>
      <c r="F23" s="193"/>
      <c r="G23" s="193"/>
      <c r="H23" s="193"/>
      <c r="I23" s="193"/>
      <c r="J23" s="193"/>
      <c r="K23" s="194"/>
      <c r="L23" s="194"/>
      <c r="M23" s="195"/>
    </row>
    <row r="24" spans="1:13" ht="12.75">
      <c r="A24" s="72" t="s">
        <v>271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6"/>
      <c r="L24" s="336"/>
      <c r="M24" s="191">
        <f>F24+L24</f>
        <v>0</v>
      </c>
    </row>
    <row r="25" spans="1:13" ht="12.75">
      <c r="A25" s="72"/>
      <c r="B25" s="192"/>
      <c r="C25" s="193"/>
      <c r="D25" s="193"/>
      <c r="E25" s="193"/>
      <c r="F25" s="193"/>
      <c r="G25" s="193"/>
      <c r="H25" s="193"/>
      <c r="I25" s="193"/>
      <c r="J25" s="193"/>
      <c r="K25" s="194"/>
      <c r="L25" s="194"/>
      <c r="M25" s="195"/>
    </row>
    <row r="26" spans="1:13" ht="12.75">
      <c r="A26" s="72" t="s">
        <v>106</v>
      </c>
      <c r="B26" s="337">
        <v>0</v>
      </c>
      <c r="C26" s="337">
        <v>0</v>
      </c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6"/>
      <c r="L26" s="336">
        <v>0</v>
      </c>
      <c r="M26" s="191">
        <f>F26+L26</f>
        <v>0</v>
      </c>
    </row>
    <row r="27" spans="1:13" ht="12.75">
      <c r="A27" s="41"/>
      <c r="B27" s="195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5"/>
    </row>
    <row r="28" spans="1:13" ht="12.75">
      <c r="A28" s="55" t="s">
        <v>260</v>
      </c>
      <c r="B28" s="200">
        <f>B16+B26</f>
        <v>0</v>
      </c>
      <c r="C28" s="200">
        <f>C16+C26</f>
        <v>423</v>
      </c>
      <c r="D28" s="200">
        <f>D16+D26</f>
        <v>0</v>
      </c>
      <c r="E28" s="200">
        <f aca="true" t="shared" si="1" ref="E28:M28">E16+E26</f>
        <v>0</v>
      </c>
      <c r="F28" s="200">
        <f t="shared" si="1"/>
        <v>423</v>
      </c>
      <c r="G28" s="200">
        <f t="shared" si="1"/>
        <v>0</v>
      </c>
      <c r="H28" s="200">
        <f t="shared" si="1"/>
        <v>0</v>
      </c>
      <c r="I28" s="200">
        <f t="shared" si="1"/>
        <v>0</v>
      </c>
      <c r="J28" s="200">
        <f t="shared" si="1"/>
        <v>0</v>
      </c>
      <c r="K28" s="200">
        <f t="shared" si="1"/>
        <v>0</v>
      </c>
      <c r="L28" s="200">
        <f t="shared" si="1"/>
        <v>0</v>
      </c>
      <c r="M28" s="201">
        <f t="shared" si="1"/>
        <v>423</v>
      </c>
    </row>
    <row r="29" spans="1:13" ht="12.75">
      <c r="A29" s="1063" t="s">
        <v>1041</v>
      </c>
      <c r="B29" s="1063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</row>
    <row r="30" ht="11.25" customHeight="1">
      <c r="A30" s="84"/>
    </row>
  </sheetData>
  <sheetProtection password="C236" sheet="1" objects="1" scenarios="1" formatColumns="0" selectLockedCells="1"/>
  <mergeCells count="24">
    <mergeCell ref="A3:L3"/>
    <mergeCell ref="A4:L4"/>
    <mergeCell ref="A5:L5"/>
    <mergeCell ref="A6:L6"/>
    <mergeCell ref="A7:L7"/>
    <mergeCell ref="B10:F10"/>
    <mergeCell ref="G10:L10"/>
    <mergeCell ref="L11:L14"/>
    <mergeCell ref="G12:G15"/>
    <mergeCell ref="H12:H13"/>
    <mergeCell ref="C14:C15"/>
    <mergeCell ref="F11:F14"/>
    <mergeCell ref="E11:E15"/>
    <mergeCell ref="D11:D15"/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scale="8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6"/>
  <sheetViews>
    <sheetView showGridLines="0" zoomScalePageLayoutView="0" workbookViewId="0" topLeftCell="A136">
      <selection activeCell="B16" sqref="B16:C16"/>
    </sheetView>
  </sheetViews>
  <sheetFormatPr defaultColWidth="9.140625" defaultRowHeight="11.25" customHeight="1"/>
  <cols>
    <col min="1" max="1" width="78.421875" style="413" customWidth="1"/>
    <col min="2" max="6" width="13.7109375" style="413" customWidth="1"/>
    <col min="7" max="7" width="14.57421875" style="413" customWidth="1"/>
    <col min="8" max="8" width="20.140625" style="413" customWidth="1"/>
    <col min="9" max="9" width="21.140625" style="671" customWidth="1"/>
    <col min="10" max="10" width="14.00390625" style="671" customWidth="1"/>
    <col min="11" max="11" width="14.140625" style="671" customWidth="1"/>
    <col min="12" max="16384" width="9.140625" style="671" customWidth="1"/>
  </cols>
  <sheetData>
    <row r="1" spans="1:8" s="655" customFormat="1" ht="15.75">
      <c r="A1" s="1131" t="s">
        <v>821</v>
      </c>
      <c r="B1" s="1131"/>
      <c r="C1" s="1131"/>
      <c r="D1" s="1131"/>
      <c r="E1" s="1131"/>
      <c r="F1" s="1131"/>
      <c r="G1" s="341"/>
      <c r="H1" s="341"/>
    </row>
    <row r="2" spans="1:8" s="656" customFormat="1" ht="12.75">
      <c r="A2" s="342"/>
      <c r="B2" s="342"/>
      <c r="C2" s="342"/>
      <c r="D2" s="342"/>
      <c r="E2" s="342"/>
      <c r="F2" s="342"/>
      <c r="G2" s="343"/>
      <c r="H2" s="343"/>
    </row>
    <row r="3" spans="1:8" s="656" customFormat="1" ht="12.75">
      <c r="A3" s="1132" t="str">
        <f>+'Informações Iniciais'!A1:B1</f>
        <v>PODER EXECUTIVO</v>
      </c>
      <c r="B3" s="1132"/>
      <c r="C3" s="1132"/>
      <c r="D3" s="1132"/>
      <c r="E3" s="1132"/>
      <c r="F3" s="1132"/>
      <c r="G3" s="343"/>
      <c r="H3" s="343"/>
    </row>
    <row r="4" spans="1:8" s="656" customFormat="1" ht="12.75">
      <c r="A4" s="1133" t="s">
        <v>109</v>
      </c>
      <c r="B4" s="1133"/>
      <c r="C4" s="1133"/>
      <c r="D4" s="1133"/>
      <c r="E4" s="1133"/>
      <c r="F4" s="1133"/>
      <c r="G4" s="343"/>
      <c r="H4" s="343"/>
    </row>
    <row r="5" spans="1:8" s="656" customFormat="1" ht="12.75">
      <c r="A5" s="1078" t="s">
        <v>272</v>
      </c>
      <c r="B5" s="1078"/>
      <c r="C5" s="1078"/>
      <c r="D5" s="1078"/>
      <c r="E5" s="1078"/>
      <c r="F5" s="1078"/>
      <c r="G5" s="343"/>
      <c r="H5" s="343"/>
    </row>
    <row r="6" spans="1:256" s="656" customFormat="1" ht="12.75">
      <c r="A6" s="1133" t="s">
        <v>111</v>
      </c>
      <c r="B6" s="1133"/>
      <c r="C6" s="1133"/>
      <c r="D6" s="1133"/>
      <c r="E6" s="1133"/>
      <c r="F6" s="1133"/>
      <c r="G6" s="343"/>
      <c r="H6" s="343"/>
      <c r="II6" s="1076" t="s">
        <v>1015</v>
      </c>
      <c r="IJ6" s="1076"/>
      <c r="IK6" s="1076"/>
      <c r="IL6" s="1076"/>
      <c r="IM6" s="1076"/>
      <c r="IN6" s="1076"/>
      <c r="IO6" s="650">
        <f>IF($A$7=IP6,1,0)</f>
        <v>0</v>
      </c>
      <c r="IP6" s="1077" t="s">
        <v>1013</v>
      </c>
      <c r="IQ6" s="1077"/>
      <c r="IR6" s="1077"/>
      <c r="IS6" s="1077"/>
      <c r="IT6" s="1077"/>
      <c r="IU6" s="1077"/>
      <c r="IV6" s="1077"/>
    </row>
    <row r="7" spans="1:256" s="656" customFormat="1" ht="12.75">
      <c r="A7" s="1078" t="str">
        <f>+'Informações Iniciais'!A5:B5</f>
        <v>5º Bimestre de 2016</v>
      </c>
      <c r="B7" s="1078"/>
      <c r="C7" s="1078"/>
      <c r="D7" s="1078"/>
      <c r="E7" s="1078"/>
      <c r="F7" s="1078"/>
      <c r="G7" s="1078"/>
      <c r="H7" s="1078"/>
      <c r="II7" s="1076"/>
      <c r="IJ7" s="1076"/>
      <c r="IK7" s="1076"/>
      <c r="IL7" s="1076"/>
      <c r="IM7" s="1076"/>
      <c r="IN7" s="1076"/>
      <c r="IO7" s="650"/>
      <c r="IP7" s="650"/>
      <c r="IQ7" s="650"/>
      <c r="IR7" s="650"/>
      <c r="IS7" s="650"/>
      <c r="IT7" s="650">
        <f aca="true" t="shared" si="0" ref="IT7:IT12">IF($A$7=IV7,1,0)</f>
        <v>0</v>
      </c>
      <c r="IU7" s="650"/>
      <c r="IV7" s="651" t="s">
        <v>1006</v>
      </c>
    </row>
    <row r="8" spans="1:256" s="656" customFormat="1" ht="21.75" customHeight="1">
      <c r="A8" s="1085">
        <f>IF($D$140&lt;&gt;($F$140+$H$140),"HÁ ERRO NO QUADRO DESPESAS COM MDE - VERIFIQUE!!!","")</f>
      </c>
      <c r="B8" s="1085"/>
      <c r="C8" s="1085"/>
      <c r="D8" s="1085"/>
      <c r="E8" s="1085"/>
      <c r="F8" s="1085"/>
      <c r="G8" s="1085"/>
      <c r="H8" s="1085"/>
      <c r="II8" s="1076"/>
      <c r="IJ8" s="1076"/>
      <c r="IK8" s="1076"/>
      <c r="IL8" s="1076"/>
      <c r="IM8" s="1076"/>
      <c r="IN8" s="1076"/>
      <c r="IO8" s="650"/>
      <c r="IP8" s="650"/>
      <c r="IQ8" s="650"/>
      <c r="IR8" s="650"/>
      <c r="IS8" s="650"/>
      <c r="IT8" s="650">
        <f t="shared" si="0"/>
        <v>0</v>
      </c>
      <c r="IU8" s="650"/>
      <c r="IV8" s="651" t="s">
        <v>1007</v>
      </c>
    </row>
    <row r="9" spans="1:256" s="656" customFormat="1" ht="12.75">
      <c r="A9" s="343" t="s">
        <v>820</v>
      </c>
      <c r="B9" s="344"/>
      <c r="C9" s="344"/>
      <c r="D9" s="344"/>
      <c r="E9" s="344"/>
      <c r="F9" s="345"/>
      <c r="G9" s="343"/>
      <c r="H9" s="345">
        <v>1</v>
      </c>
      <c r="II9" s="1076"/>
      <c r="IJ9" s="1076"/>
      <c r="IK9" s="1076"/>
      <c r="IL9" s="1076"/>
      <c r="IM9" s="1076"/>
      <c r="IN9" s="1076"/>
      <c r="IO9" s="650"/>
      <c r="IP9" s="650"/>
      <c r="IQ9" s="650"/>
      <c r="IR9" s="650"/>
      <c r="IS9" s="650"/>
      <c r="IT9" s="650">
        <f t="shared" si="0"/>
        <v>0</v>
      </c>
      <c r="IU9" s="650"/>
      <c r="IV9" s="651" t="s">
        <v>1008</v>
      </c>
    </row>
    <row r="10" spans="1:256" s="656" customFormat="1" ht="12.75">
      <c r="A10" s="1126" t="s">
        <v>203</v>
      </c>
      <c r="B10" s="1126"/>
      <c r="C10" s="1126"/>
      <c r="D10" s="1126"/>
      <c r="E10" s="1126"/>
      <c r="F10" s="1126"/>
      <c r="G10" s="1126"/>
      <c r="H10" s="1126"/>
      <c r="II10" s="1076"/>
      <c r="IJ10" s="1076"/>
      <c r="IK10" s="1076"/>
      <c r="IL10" s="1076"/>
      <c r="IM10" s="1076"/>
      <c r="IN10" s="1076"/>
      <c r="IO10" s="650"/>
      <c r="IP10" s="650"/>
      <c r="IQ10" s="650"/>
      <c r="IR10" s="650"/>
      <c r="IS10" s="650"/>
      <c r="IT10" s="650">
        <f t="shared" si="0"/>
        <v>0</v>
      </c>
      <c r="IU10" s="650"/>
      <c r="IV10" s="651" t="s">
        <v>1009</v>
      </c>
    </row>
    <row r="11" spans="1:256" s="656" customFormat="1" ht="12.75">
      <c r="A11" s="346"/>
      <c r="B11" s="1079" t="s">
        <v>635</v>
      </c>
      <c r="C11" s="1080"/>
      <c r="D11" s="1079" t="s">
        <v>281</v>
      </c>
      <c r="E11" s="1080"/>
      <c r="F11" s="1127" t="s">
        <v>113</v>
      </c>
      <c r="G11" s="1128"/>
      <c r="H11" s="1128"/>
      <c r="II11" s="1076"/>
      <c r="IJ11" s="1076"/>
      <c r="IK11" s="1076"/>
      <c r="IL11" s="1076"/>
      <c r="IM11" s="1076"/>
      <c r="IN11" s="1076"/>
      <c r="IO11" s="650"/>
      <c r="IP11" s="650"/>
      <c r="IQ11" s="650"/>
      <c r="IR11" s="650"/>
      <c r="IS11" s="650"/>
      <c r="IT11" s="650">
        <f t="shared" si="0"/>
        <v>1</v>
      </c>
      <c r="IU11" s="650"/>
      <c r="IV11" s="651" t="s">
        <v>1010</v>
      </c>
    </row>
    <row r="12" spans="1:256" s="656" customFormat="1" ht="12.75">
      <c r="A12" s="347" t="s">
        <v>407</v>
      </c>
      <c r="B12" s="1081"/>
      <c r="C12" s="1082"/>
      <c r="D12" s="1081"/>
      <c r="E12" s="1082"/>
      <c r="F12" s="1124" t="s">
        <v>119</v>
      </c>
      <c r="G12" s="1125"/>
      <c r="H12" s="348" t="s">
        <v>118</v>
      </c>
      <c r="II12" s="1076"/>
      <c r="IJ12" s="1076"/>
      <c r="IK12" s="1076"/>
      <c r="IL12" s="1076"/>
      <c r="IM12" s="1076"/>
      <c r="IN12" s="1076"/>
      <c r="IO12" s="650"/>
      <c r="IP12" s="650"/>
      <c r="IQ12" s="650"/>
      <c r="IR12" s="650"/>
      <c r="IS12" s="650"/>
      <c r="IT12" s="650">
        <f t="shared" si="0"/>
        <v>0</v>
      </c>
      <c r="IU12" s="650"/>
      <c r="IV12" s="651" t="s">
        <v>1011</v>
      </c>
    </row>
    <row r="13" spans="1:256" s="656" customFormat="1" ht="12.75">
      <c r="A13" s="349"/>
      <c r="B13" s="1083"/>
      <c r="C13" s="1084"/>
      <c r="D13" s="1122" t="s">
        <v>120</v>
      </c>
      <c r="E13" s="1123"/>
      <c r="F13" s="1122" t="s">
        <v>121</v>
      </c>
      <c r="G13" s="1123"/>
      <c r="H13" s="350" t="s">
        <v>204</v>
      </c>
      <c r="II13" s="650"/>
      <c r="IJ13" s="650"/>
      <c r="IK13" s="650"/>
      <c r="IL13" s="650"/>
      <c r="IM13" s="650"/>
      <c r="IN13" s="650"/>
      <c r="IO13" s="650"/>
      <c r="IP13" s="650"/>
      <c r="IQ13" s="650"/>
      <c r="IR13" s="650"/>
      <c r="IS13" s="650"/>
      <c r="IT13" s="650">
        <f>SUM(IT7:IT12)+IO6</f>
        <v>1</v>
      </c>
      <c r="IU13" s="650"/>
      <c r="IV13" s="650"/>
    </row>
    <row r="14" spans="1:256" s="656" customFormat="1" ht="12.75">
      <c r="A14" s="351" t="s">
        <v>205</v>
      </c>
      <c r="B14" s="1129">
        <f>B15+B21+B27+B33+B39</f>
        <v>4682885</v>
      </c>
      <c r="C14" s="1130"/>
      <c r="D14" s="1129">
        <f>D15+D21+D27+D33+D39</f>
        <v>4682885</v>
      </c>
      <c r="E14" s="1130"/>
      <c r="F14" s="1129">
        <f>F15+F21+F27+F33+F39</f>
        <v>3054594.92</v>
      </c>
      <c r="G14" s="1130"/>
      <c r="H14" s="352">
        <f>IF(D14="",0,IF(D14=0,0,F14/D14))</f>
        <v>0.6522891166449741</v>
      </c>
      <c r="I14" s="657"/>
      <c r="II14" s="650"/>
      <c r="IJ14" s="650"/>
      <c r="IK14" s="650"/>
      <c r="IL14" s="650"/>
      <c r="IM14" s="650"/>
      <c r="IN14" s="650"/>
      <c r="IO14" s="650"/>
      <c r="IP14" s="650"/>
      <c r="IQ14" s="650"/>
      <c r="IR14" s="650"/>
      <c r="IS14" s="650"/>
      <c r="IT14" s="650"/>
      <c r="IU14" s="652" t="s">
        <v>1016</v>
      </c>
      <c r="IV14" s="650">
        <f>+'Informações Iniciais'!C23</f>
        <v>0</v>
      </c>
    </row>
    <row r="15" spans="1:8" s="656" customFormat="1" ht="12.75">
      <c r="A15" s="353" t="s">
        <v>819</v>
      </c>
      <c r="B15" s="1007">
        <f>+B16+B17+B18+B19-ABS(B20)</f>
        <v>2090</v>
      </c>
      <c r="C15" s="1008"/>
      <c r="D15" s="1007">
        <f>+D16+D17+D18+D19-ABS(D20)</f>
        <v>2090</v>
      </c>
      <c r="E15" s="1008"/>
      <c r="F15" s="1007">
        <f>+F16+F17+F18+F19-ABS(F20)</f>
        <v>2158.74</v>
      </c>
      <c r="G15" s="1008"/>
      <c r="H15" s="352">
        <f aca="true" t="shared" si="1" ref="H15:H56">IF(D15="",0,IF(D15=0,0,F15/D15))</f>
        <v>1.0328899521531099</v>
      </c>
    </row>
    <row r="16" spans="1:8" s="656" customFormat="1" ht="12.75">
      <c r="A16" s="353" t="s">
        <v>818</v>
      </c>
      <c r="B16" s="920">
        <v>2090</v>
      </c>
      <c r="C16" s="921"/>
      <c r="D16" s="920">
        <v>2090</v>
      </c>
      <c r="E16" s="921"/>
      <c r="F16" s="920">
        <v>2158.74</v>
      </c>
      <c r="G16" s="921"/>
      <c r="H16" s="352">
        <f t="shared" si="1"/>
        <v>1.0328899521531099</v>
      </c>
    </row>
    <row r="17" spans="1:8" s="656" customFormat="1" ht="12.75">
      <c r="A17" s="353" t="s">
        <v>817</v>
      </c>
      <c r="B17" s="920">
        <v>0</v>
      </c>
      <c r="C17" s="921"/>
      <c r="D17" s="920">
        <v>0</v>
      </c>
      <c r="E17" s="921"/>
      <c r="F17" s="920">
        <v>0</v>
      </c>
      <c r="G17" s="921"/>
      <c r="H17" s="352">
        <f t="shared" si="1"/>
        <v>0</v>
      </c>
    </row>
    <row r="18" spans="1:8" s="656" customFormat="1" ht="12.75">
      <c r="A18" s="353" t="s">
        <v>816</v>
      </c>
      <c r="B18" s="920">
        <v>0</v>
      </c>
      <c r="C18" s="921"/>
      <c r="D18" s="920">
        <v>0</v>
      </c>
      <c r="E18" s="921"/>
      <c r="F18" s="920">
        <v>0</v>
      </c>
      <c r="G18" s="921"/>
      <c r="H18" s="352">
        <f t="shared" si="1"/>
        <v>0</v>
      </c>
    </row>
    <row r="19" spans="1:8" s="656" customFormat="1" ht="13.5" customHeight="1">
      <c r="A19" s="353" t="s">
        <v>815</v>
      </c>
      <c r="B19" s="920">
        <v>0</v>
      </c>
      <c r="C19" s="921"/>
      <c r="D19" s="920">
        <v>0</v>
      </c>
      <c r="E19" s="921"/>
      <c r="F19" s="920">
        <v>0</v>
      </c>
      <c r="G19" s="921"/>
      <c r="H19" s="352">
        <f t="shared" si="1"/>
        <v>0</v>
      </c>
    </row>
    <row r="20" spans="1:8" s="656" customFormat="1" ht="12.75">
      <c r="A20" s="353" t="s">
        <v>814</v>
      </c>
      <c r="B20" s="920">
        <v>0</v>
      </c>
      <c r="C20" s="921"/>
      <c r="D20" s="920">
        <v>0</v>
      </c>
      <c r="E20" s="921"/>
      <c r="F20" s="920">
        <v>0</v>
      </c>
      <c r="G20" s="921"/>
      <c r="H20" s="352">
        <f t="shared" si="1"/>
        <v>0</v>
      </c>
    </row>
    <row r="21" spans="1:8" s="656" customFormat="1" ht="12.75">
      <c r="A21" s="353" t="s">
        <v>813</v>
      </c>
      <c r="B21" s="1007">
        <f>+B22+B23+B24+B25-ABS(B26)</f>
        <v>2090</v>
      </c>
      <c r="C21" s="1008"/>
      <c r="D21" s="1007">
        <f>+D22+D23+D24+D25-ABS(D26)</f>
        <v>2090</v>
      </c>
      <c r="E21" s="1008"/>
      <c r="F21" s="1007">
        <f>+F22+F23+F24+F25-ABS(F26)</f>
        <v>3853.44</v>
      </c>
      <c r="G21" s="1008"/>
      <c r="H21" s="352">
        <f t="shared" si="1"/>
        <v>1.8437511961722488</v>
      </c>
    </row>
    <row r="22" spans="1:8" s="656" customFormat="1" ht="12.75">
      <c r="A22" s="353" t="s">
        <v>812</v>
      </c>
      <c r="B22" s="920">
        <v>2090</v>
      </c>
      <c r="C22" s="921"/>
      <c r="D22" s="920">
        <v>2090</v>
      </c>
      <c r="E22" s="921"/>
      <c r="F22" s="920">
        <v>3853.44</v>
      </c>
      <c r="G22" s="921"/>
      <c r="H22" s="352">
        <f t="shared" si="1"/>
        <v>1.8437511961722488</v>
      </c>
    </row>
    <row r="23" spans="1:8" s="656" customFormat="1" ht="12.75">
      <c r="A23" s="353" t="s">
        <v>811</v>
      </c>
      <c r="B23" s="920">
        <v>0</v>
      </c>
      <c r="C23" s="921"/>
      <c r="D23" s="920">
        <v>0</v>
      </c>
      <c r="E23" s="921"/>
      <c r="F23" s="920">
        <v>0</v>
      </c>
      <c r="G23" s="921"/>
      <c r="H23" s="352">
        <f t="shared" si="1"/>
        <v>0</v>
      </c>
    </row>
    <row r="24" spans="1:8" s="656" customFormat="1" ht="12.75">
      <c r="A24" s="353" t="s">
        <v>810</v>
      </c>
      <c r="B24" s="920">
        <v>0</v>
      </c>
      <c r="C24" s="921"/>
      <c r="D24" s="920">
        <v>0</v>
      </c>
      <c r="E24" s="921"/>
      <c r="F24" s="920">
        <v>0</v>
      </c>
      <c r="G24" s="921"/>
      <c r="H24" s="352">
        <f t="shared" si="1"/>
        <v>0</v>
      </c>
    </row>
    <row r="25" spans="1:8" s="656" customFormat="1" ht="13.5" customHeight="1">
      <c r="A25" s="353" t="s">
        <v>809</v>
      </c>
      <c r="B25" s="920">
        <v>0</v>
      </c>
      <c r="C25" s="921"/>
      <c r="D25" s="920">
        <v>0</v>
      </c>
      <c r="E25" s="921"/>
      <c r="F25" s="920">
        <v>0</v>
      </c>
      <c r="G25" s="921"/>
      <c r="H25" s="352">
        <f t="shared" si="1"/>
        <v>0</v>
      </c>
    </row>
    <row r="26" spans="1:8" s="656" customFormat="1" ht="12.75">
      <c r="A26" s="353" t="s">
        <v>808</v>
      </c>
      <c r="B26" s="920">
        <v>0</v>
      </c>
      <c r="C26" s="921"/>
      <c r="D26" s="920">
        <v>0</v>
      </c>
      <c r="E26" s="921"/>
      <c r="F26" s="920">
        <v>0</v>
      </c>
      <c r="G26" s="921"/>
      <c r="H26" s="352">
        <f t="shared" si="1"/>
        <v>0</v>
      </c>
    </row>
    <row r="27" spans="1:8" s="656" customFormat="1" ht="12.75">
      <c r="A27" s="353" t="s">
        <v>807</v>
      </c>
      <c r="B27" s="1007">
        <f>+B28+B29+B30+B31-ABS(B32)</f>
        <v>4417455</v>
      </c>
      <c r="C27" s="1008"/>
      <c r="D27" s="1007">
        <f>+D28+D29+D30+D31-ABS(D32)</f>
        <v>4417455</v>
      </c>
      <c r="E27" s="1008"/>
      <c r="F27" s="1007">
        <f>+F28+F29+F30+F31-ABS(F32)</f>
        <v>2996520.69</v>
      </c>
      <c r="G27" s="1008"/>
      <c r="H27" s="352">
        <f t="shared" si="1"/>
        <v>0.6783364380621874</v>
      </c>
    </row>
    <row r="28" spans="1:8" s="656" customFormat="1" ht="12.75">
      <c r="A28" s="353" t="s">
        <v>806</v>
      </c>
      <c r="B28" s="920">
        <v>4417455</v>
      </c>
      <c r="C28" s="921"/>
      <c r="D28" s="920">
        <v>4417455</v>
      </c>
      <c r="E28" s="921"/>
      <c r="F28" s="920">
        <v>2996520.69</v>
      </c>
      <c r="G28" s="921"/>
      <c r="H28" s="352">
        <f t="shared" si="1"/>
        <v>0.6783364380621874</v>
      </c>
    </row>
    <row r="29" spans="1:8" s="656" customFormat="1" ht="12.75">
      <c r="A29" s="353" t="s">
        <v>805</v>
      </c>
      <c r="B29" s="920">
        <v>0</v>
      </c>
      <c r="C29" s="921"/>
      <c r="D29" s="920">
        <v>0</v>
      </c>
      <c r="E29" s="921"/>
      <c r="F29" s="920">
        <v>0</v>
      </c>
      <c r="G29" s="921"/>
      <c r="H29" s="352">
        <f t="shared" si="1"/>
        <v>0</v>
      </c>
    </row>
    <row r="30" spans="1:8" s="656" customFormat="1" ht="12.75">
      <c r="A30" s="353" t="s">
        <v>804</v>
      </c>
      <c r="B30" s="920">
        <v>0</v>
      </c>
      <c r="C30" s="921"/>
      <c r="D30" s="920">
        <v>0</v>
      </c>
      <c r="E30" s="921"/>
      <c r="F30" s="920">
        <v>0</v>
      </c>
      <c r="G30" s="921"/>
      <c r="H30" s="352">
        <f t="shared" si="1"/>
        <v>0</v>
      </c>
    </row>
    <row r="31" spans="1:8" s="656" customFormat="1" ht="11.25" customHeight="1">
      <c r="A31" s="353" t="s">
        <v>803</v>
      </c>
      <c r="B31" s="920">
        <v>0</v>
      </c>
      <c r="C31" s="921"/>
      <c r="D31" s="920">
        <v>0</v>
      </c>
      <c r="E31" s="921"/>
      <c r="F31" s="920">
        <v>0</v>
      </c>
      <c r="G31" s="921"/>
      <c r="H31" s="352">
        <f t="shared" si="1"/>
        <v>0</v>
      </c>
    </row>
    <row r="32" spans="1:8" s="656" customFormat="1" ht="12.75">
      <c r="A32" s="353" t="s">
        <v>802</v>
      </c>
      <c r="B32" s="920">
        <v>0</v>
      </c>
      <c r="C32" s="921"/>
      <c r="D32" s="920">
        <v>0</v>
      </c>
      <c r="E32" s="921"/>
      <c r="F32" s="920">
        <v>0</v>
      </c>
      <c r="G32" s="921"/>
      <c r="H32" s="352">
        <f t="shared" si="1"/>
        <v>0</v>
      </c>
    </row>
    <row r="33" spans="1:8" s="656" customFormat="1" ht="12.75">
      <c r="A33" s="351" t="s">
        <v>801</v>
      </c>
      <c r="B33" s="1007">
        <f>+B34+B35+B36+B37-ABS(B38)</f>
        <v>261250</v>
      </c>
      <c r="C33" s="1008"/>
      <c r="D33" s="1007">
        <f>+D34+D35+D36+D37-ABS(D38)</f>
        <v>261250</v>
      </c>
      <c r="E33" s="1008"/>
      <c r="F33" s="1007">
        <f>+F34+F35+F36+F37-ABS(F38)</f>
        <v>52062.05</v>
      </c>
      <c r="G33" s="1008"/>
      <c r="H33" s="352">
        <f t="shared" si="1"/>
        <v>0.19928057416267944</v>
      </c>
    </row>
    <row r="34" spans="1:8" s="656" customFormat="1" ht="12.75">
      <c r="A34" s="353" t="s">
        <v>800</v>
      </c>
      <c r="B34" s="920">
        <v>261250</v>
      </c>
      <c r="C34" s="921"/>
      <c r="D34" s="920">
        <v>261250</v>
      </c>
      <c r="E34" s="921"/>
      <c r="F34" s="920">
        <v>52062.05</v>
      </c>
      <c r="G34" s="921"/>
      <c r="H34" s="352">
        <f t="shared" si="1"/>
        <v>0.19928057416267944</v>
      </c>
    </row>
    <row r="35" spans="1:8" s="656" customFormat="1" ht="12.75">
      <c r="A35" s="353" t="s">
        <v>799</v>
      </c>
      <c r="B35" s="920">
        <v>0</v>
      </c>
      <c r="C35" s="921"/>
      <c r="D35" s="920">
        <v>0</v>
      </c>
      <c r="E35" s="921"/>
      <c r="F35" s="920">
        <v>0</v>
      </c>
      <c r="G35" s="921"/>
      <c r="H35" s="352">
        <f t="shared" si="1"/>
        <v>0</v>
      </c>
    </row>
    <row r="36" spans="1:8" s="656" customFormat="1" ht="12.75">
      <c r="A36" s="353" t="s">
        <v>798</v>
      </c>
      <c r="B36" s="920">
        <v>0</v>
      </c>
      <c r="C36" s="921"/>
      <c r="D36" s="920">
        <v>0</v>
      </c>
      <c r="E36" s="921"/>
      <c r="F36" s="920">
        <v>0</v>
      </c>
      <c r="G36" s="921"/>
      <c r="H36" s="352">
        <f t="shared" si="1"/>
        <v>0</v>
      </c>
    </row>
    <row r="37" spans="1:8" s="656" customFormat="1" ht="14.25" customHeight="1">
      <c r="A37" s="353" t="s">
        <v>797</v>
      </c>
      <c r="B37" s="920">
        <v>0</v>
      </c>
      <c r="C37" s="921"/>
      <c r="D37" s="920">
        <v>0</v>
      </c>
      <c r="E37" s="921"/>
      <c r="F37" s="920">
        <v>0</v>
      </c>
      <c r="G37" s="921"/>
      <c r="H37" s="352">
        <f t="shared" si="1"/>
        <v>0</v>
      </c>
    </row>
    <row r="38" spans="1:8" s="656" customFormat="1" ht="12.75">
      <c r="A38" s="353" t="s">
        <v>408</v>
      </c>
      <c r="B38" s="920">
        <v>0</v>
      </c>
      <c r="C38" s="921"/>
      <c r="D38" s="920">
        <v>0</v>
      </c>
      <c r="E38" s="921"/>
      <c r="F38" s="920">
        <v>0</v>
      </c>
      <c r="G38" s="921"/>
      <c r="H38" s="352">
        <f t="shared" si="1"/>
        <v>0</v>
      </c>
    </row>
    <row r="39" spans="1:8" s="656" customFormat="1" ht="12.75">
      <c r="A39" s="351" t="s">
        <v>796</v>
      </c>
      <c r="B39" s="1007">
        <f>+B40+B41+B42+B43-ABS(B44)</f>
        <v>0</v>
      </c>
      <c r="C39" s="1008"/>
      <c r="D39" s="1007">
        <f>+D40+D41+D42+D43-ABS(D44)</f>
        <v>0</v>
      </c>
      <c r="E39" s="1008"/>
      <c r="F39" s="1007">
        <f>+F40+F41+F42+F43-ABS(F44)</f>
        <v>0</v>
      </c>
      <c r="G39" s="1008"/>
      <c r="H39" s="352">
        <f t="shared" si="1"/>
        <v>0</v>
      </c>
    </row>
    <row r="40" spans="1:8" s="656" customFormat="1" ht="12.75">
      <c r="A40" s="353" t="s">
        <v>795</v>
      </c>
      <c r="B40" s="920">
        <v>0</v>
      </c>
      <c r="C40" s="921"/>
      <c r="D40" s="920">
        <v>0</v>
      </c>
      <c r="E40" s="921"/>
      <c r="F40" s="920">
        <v>0</v>
      </c>
      <c r="G40" s="921"/>
      <c r="H40" s="352">
        <f t="shared" si="1"/>
        <v>0</v>
      </c>
    </row>
    <row r="41" spans="1:8" s="656" customFormat="1" ht="12.75">
      <c r="A41" s="353" t="s">
        <v>794</v>
      </c>
      <c r="B41" s="920">
        <v>0</v>
      </c>
      <c r="C41" s="921"/>
      <c r="D41" s="920">
        <v>0</v>
      </c>
      <c r="E41" s="921"/>
      <c r="F41" s="920">
        <v>0</v>
      </c>
      <c r="G41" s="921"/>
      <c r="H41" s="352">
        <f t="shared" si="1"/>
        <v>0</v>
      </c>
    </row>
    <row r="42" spans="1:8" s="656" customFormat="1" ht="12.75">
      <c r="A42" s="353" t="s">
        <v>793</v>
      </c>
      <c r="B42" s="920">
        <v>0</v>
      </c>
      <c r="C42" s="921"/>
      <c r="D42" s="920">
        <v>0</v>
      </c>
      <c r="E42" s="921"/>
      <c r="F42" s="920">
        <v>0</v>
      </c>
      <c r="G42" s="921"/>
      <c r="H42" s="352">
        <f t="shared" si="1"/>
        <v>0</v>
      </c>
    </row>
    <row r="43" spans="1:8" s="656" customFormat="1" ht="13.5" customHeight="1">
      <c r="A43" s="353" t="s">
        <v>792</v>
      </c>
      <c r="B43" s="920">
        <v>0</v>
      </c>
      <c r="C43" s="921"/>
      <c r="D43" s="920">
        <v>0</v>
      </c>
      <c r="E43" s="921"/>
      <c r="F43" s="920">
        <v>0</v>
      </c>
      <c r="G43" s="921"/>
      <c r="H43" s="352">
        <f t="shared" si="1"/>
        <v>0</v>
      </c>
    </row>
    <row r="44" spans="1:8" s="656" customFormat="1" ht="12.75">
      <c r="A44" s="353" t="s">
        <v>791</v>
      </c>
      <c r="B44" s="920">
        <v>0</v>
      </c>
      <c r="C44" s="921"/>
      <c r="D44" s="920">
        <v>0</v>
      </c>
      <c r="E44" s="921"/>
      <c r="F44" s="920">
        <v>0</v>
      </c>
      <c r="G44" s="921"/>
      <c r="H44" s="352">
        <f t="shared" si="1"/>
        <v>0</v>
      </c>
    </row>
    <row r="45" spans="1:9" s="656" customFormat="1" ht="12.75">
      <c r="A45" s="351" t="s">
        <v>409</v>
      </c>
      <c r="B45" s="1129">
        <f>SUM(B46,B50:C55)</f>
        <v>9575865</v>
      </c>
      <c r="C45" s="1130"/>
      <c r="D45" s="1129">
        <f>SUM(D46,D50:E55)</f>
        <v>9575865</v>
      </c>
      <c r="E45" s="1130"/>
      <c r="F45" s="1129">
        <f>SUM(F46,F50:G55)</f>
        <v>9226886.559999999</v>
      </c>
      <c r="G45" s="1130"/>
      <c r="H45" s="352">
        <f t="shared" si="1"/>
        <v>0.9635564578239144</v>
      </c>
      <c r="I45" s="658"/>
    </row>
    <row r="46" spans="1:8" s="656" customFormat="1" ht="12.75">
      <c r="A46" s="351" t="s">
        <v>790</v>
      </c>
      <c r="B46" s="1007">
        <f>SUM(B47:B49)</f>
        <v>7715000</v>
      </c>
      <c r="C46" s="1008"/>
      <c r="D46" s="1007">
        <f>SUM(D47:D49)</f>
        <v>7715000</v>
      </c>
      <c r="E46" s="1008"/>
      <c r="F46" s="1007">
        <f>SUM(F47:F49)</f>
        <v>6887022.67</v>
      </c>
      <c r="G46" s="1008"/>
      <c r="H46" s="352">
        <f t="shared" si="1"/>
        <v>0.8926795424497732</v>
      </c>
    </row>
    <row r="47" spans="1:8" s="656" customFormat="1" ht="12.75">
      <c r="A47" s="351" t="s">
        <v>789</v>
      </c>
      <c r="B47" s="920">
        <v>6887042.37</v>
      </c>
      <c r="C47" s="921"/>
      <c r="D47" s="920">
        <v>6887042.37</v>
      </c>
      <c r="E47" s="921"/>
      <c r="F47" s="920">
        <v>6887022.67</v>
      </c>
      <c r="G47" s="921"/>
      <c r="H47" s="352">
        <f t="shared" si="1"/>
        <v>0.9999971395558584</v>
      </c>
    </row>
    <row r="48" spans="1:8" s="656" customFormat="1" ht="12.75">
      <c r="A48" s="351" t="s">
        <v>788</v>
      </c>
      <c r="B48" s="920">
        <v>827957.63</v>
      </c>
      <c r="C48" s="921"/>
      <c r="D48" s="920">
        <v>827957.63</v>
      </c>
      <c r="E48" s="921"/>
      <c r="F48" s="920">
        <v>0</v>
      </c>
      <c r="G48" s="921"/>
      <c r="H48" s="352">
        <f t="shared" si="1"/>
        <v>0</v>
      </c>
    </row>
    <row r="49" spans="1:8" s="656" customFormat="1" ht="12.75">
      <c r="A49" s="351" t="s">
        <v>971</v>
      </c>
      <c r="B49" s="920">
        <v>0</v>
      </c>
      <c r="C49" s="921"/>
      <c r="D49" s="920">
        <v>0</v>
      </c>
      <c r="E49" s="921"/>
      <c r="F49" s="920">
        <v>0</v>
      </c>
      <c r="G49" s="921"/>
      <c r="H49" s="352">
        <f t="shared" si="1"/>
        <v>0</v>
      </c>
    </row>
    <row r="50" spans="1:8" s="656" customFormat="1" ht="12.75">
      <c r="A50" s="351" t="s">
        <v>787</v>
      </c>
      <c r="B50" s="920">
        <v>1439500</v>
      </c>
      <c r="C50" s="921"/>
      <c r="D50" s="920">
        <v>1439500</v>
      </c>
      <c r="E50" s="921"/>
      <c r="F50" s="920">
        <v>2111741.34</v>
      </c>
      <c r="G50" s="921"/>
      <c r="H50" s="352">
        <f t="shared" si="1"/>
        <v>1.4669964154220214</v>
      </c>
    </row>
    <row r="51" spans="1:8" s="656" customFormat="1" ht="12.75">
      <c r="A51" s="351" t="s">
        <v>786</v>
      </c>
      <c r="B51" s="920">
        <v>9405</v>
      </c>
      <c r="C51" s="921"/>
      <c r="D51" s="920">
        <v>9405</v>
      </c>
      <c r="E51" s="921"/>
      <c r="F51" s="920">
        <v>12600.1</v>
      </c>
      <c r="G51" s="921"/>
      <c r="H51" s="352">
        <f t="shared" si="1"/>
        <v>1.3397235513024988</v>
      </c>
    </row>
    <row r="52" spans="1:8" s="656" customFormat="1" ht="12.75">
      <c r="A52" s="351" t="s">
        <v>785</v>
      </c>
      <c r="B52" s="920">
        <v>212250</v>
      </c>
      <c r="C52" s="921"/>
      <c r="D52" s="920">
        <v>212250</v>
      </c>
      <c r="E52" s="921"/>
      <c r="F52" s="920">
        <v>16433.41</v>
      </c>
      <c r="G52" s="921"/>
      <c r="H52" s="352">
        <f t="shared" si="1"/>
        <v>0.07742478209658421</v>
      </c>
    </row>
    <row r="53" spans="1:8" s="656" customFormat="1" ht="12.75">
      <c r="A53" s="351" t="s">
        <v>784</v>
      </c>
      <c r="B53" s="920">
        <v>3135</v>
      </c>
      <c r="C53" s="921"/>
      <c r="D53" s="920">
        <v>3135</v>
      </c>
      <c r="E53" s="921"/>
      <c r="F53" s="920">
        <v>115550.42</v>
      </c>
      <c r="G53" s="921"/>
      <c r="H53" s="352">
        <f>IF(D53="",0,IF(D53=0,0,F53/D53))</f>
        <v>36.85818819776714</v>
      </c>
    </row>
    <row r="54" spans="1:8" s="656" customFormat="1" ht="12.75">
      <c r="A54" s="351" t="s">
        <v>783</v>
      </c>
      <c r="B54" s="920">
        <v>196575</v>
      </c>
      <c r="C54" s="921"/>
      <c r="D54" s="920">
        <v>196575</v>
      </c>
      <c r="E54" s="921"/>
      <c r="F54" s="920">
        <v>83538.62</v>
      </c>
      <c r="G54" s="921"/>
      <c r="H54" s="352">
        <f t="shared" si="1"/>
        <v>0.42497072364237565</v>
      </c>
    </row>
    <row r="55" spans="1:8" s="656" customFormat="1" ht="12.75">
      <c r="A55" s="351" t="s">
        <v>782</v>
      </c>
      <c r="B55" s="920">
        <v>0</v>
      </c>
      <c r="C55" s="921"/>
      <c r="D55" s="920">
        <v>0</v>
      </c>
      <c r="E55" s="921"/>
      <c r="F55" s="920">
        <v>0</v>
      </c>
      <c r="G55" s="921"/>
      <c r="H55" s="352">
        <f t="shared" si="1"/>
        <v>0</v>
      </c>
    </row>
    <row r="56" spans="1:9" s="656" customFormat="1" ht="12.75">
      <c r="A56" s="355" t="s">
        <v>676</v>
      </c>
      <c r="B56" s="1118">
        <f>B14+B45</f>
        <v>14258750</v>
      </c>
      <c r="C56" s="1119"/>
      <c r="D56" s="1118">
        <f>D14+D45</f>
        <v>14258750</v>
      </c>
      <c r="E56" s="1119"/>
      <c r="F56" s="1118">
        <f>F14+F45</f>
        <v>12281481.479999999</v>
      </c>
      <c r="G56" s="1119"/>
      <c r="H56" s="356">
        <f t="shared" si="1"/>
        <v>0.8613294629613394</v>
      </c>
      <c r="I56" s="658"/>
    </row>
    <row r="57" spans="1:8" s="656" customFormat="1" ht="12.75">
      <c r="A57" s="357"/>
      <c r="B57" s="1079" t="s">
        <v>635</v>
      </c>
      <c r="C57" s="1080"/>
      <c r="D57" s="1079" t="s">
        <v>281</v>
      </c>
      <c r="E57" s="1080"/>
      <c r="F57" s="1127" t="s">
        <v>113</v>
      </c>
      <c r="G57" s="1128"/>
      <c r="H57" s="1128"/>
    </row>
    <row r="58" spans="1:8" s="656" customFormat="1" ht="12.75">
      <c r="A58" s="358" t="s">
        <v>781</v>
      </c>
      <c r="B58" s="1081"/>
      <c r="C58" s="1082"/>
      <c r="D58" s="1081"/>
      <c r="E58" s="1082"/>
      <c r="F58" s="1124" t="s">
        <v>119</v>
      </c>
      <c r="G58" s="1125"/>
      <c r="H58" s="348" t="s">
        <v>118</v>
      </c>
    </row>
    <row r="59" spans="1:8" s="656" customFormat="1" ht="12.75">
      <c r="A59" s="349"/>
      <c r="B59" s="1083"/>
      <c r="C59" s="1084"/>
      <c r="D59" s="1122" t="s">
        <v>120</v>
      </c>
      <c r="E59" s="1123"/>
      <c r="F59" s="1122" t="s">
        <v>121</v>
      </c>
      <c r="G59" s="1123"/>
      <c r="H59" s="350" t="s">
        <v>204</v>
      </c>
    </row>
    <row r="60" spans="1:9" s="656" customFormat="1" ht="25.5">
      <c r="A60" s="351" t="s">
        <v>780</v>
      </c>
      <c r="B60" s="920">
        <v>0</v>
      </c>
      <c r="C60" s="921"/>
      <c r="D60" s="920">
        <v>0</v>
      </c>
      <c r="E60" s="921"/>
      <c r="F60" s="920">
        <v>0</v>
      </c>
      <c r="G60" s="921"/>
      <c r="H60" s="352">
        <f aca="true" t="shared" si="2" ref="H60:H73">IF(D60="",0,IF(D60=0,0,F60/D60))</f>
        <v>0</v>
      </c>
      <c r="I60" s="659"/>
    </row>
    <row r="61" spans="1:9" s="656" customFormat="1" ht="12.75">
      <c r="A61" s="351" t="s">
        <v>779</v>
      </c>
      <c r="B61" s="1007">
        <f>SUM(B62:C67)</f>
        <v>929155</v>
      </c>
      <c r="C61" s="1008"/>
      <c r="D61" s="1007">
        <f>SUM(D62:E67)</f>
        <v>929155</v>
      </c>
      <c r="E61" s="1008"/>
      <c r="F61" s="1007">
        <f>SUM(F62:G67)</f>
        <v>70061.37</v>
      </c>
      <c r="G61" s="1008"/>
      <c r="H61" s="352">
        <f t="shared" si="2"/>
        <v>0.07540331806856768</v>
      </c>
      <c r="I61" s="659"/>
    </row>
    <row r="62" spans="1:9" s="656" customFormat="1" ht="12.75">
      <c r="A62" s="351" t="s">
        <v>778</v>
      </c>
      <c r="B62" s="920">
        <v>156750</v>
      </c>
      <c r="C62" s="921"/>
      <c r="D62" s="920">
        <v>156750</v>
      </c>
      <c r="E62" s="921"/>
      <c r="F62" s="920">
        <v>70061.37</v>
      </c>
      <c r="G62" s="921"/>
      <c r="H62" s="352">
        <f t="shared" si="2"/>
        <v>0.4469624880382775</v>
      </c>
      <c r="I62" s="659"/>
    </row>
    <row r="63" spans="1:9" s="656" customFormat="1" ht="12.75">
      <c r="A63" s="359" t="s">
        <v>777</v>
      </c>
      <c r="B63" s="920">
        <v>52250</v>
      </c>
      <c r="C63" s="921"/>
      <c r="D63" s="920">
        <v>52250</v>
      </c>
      <c r="E63" s="921"/>
      <c r="F63" s="920">
        <v>0</v>
      </c>
      <c r="G63" s="921"/>
      <c r="H63" s="352">
        <f t="shared" si="2"/>
        <v>0</v>
      </c>
      <c r="I63" s="659"/>
    </row>
    <row r="64" spans="1:9" s="656" customFormat="1" ht="12.75">
      <c r="A64" s="359" t="s">
        <v>776</v>
      </c>
      <c r="B64" s="920">
        <v>213500</v>
      </c>
      <c r="C64" s="921"/>
      <c r="D64" s="920">
        <v>213500</v>
      </c>
      <c r="E64" s="921"/>
      <c r="F64" s="920">
        <v>0</v>
      </c>
      <c r="G64" s="921"/>
      <c r="H64" s="352">
        <f t="shared" si="2"/>
        <v>0</v>
      </c>
      <c r="I64" s="659"/>
    </row>
    <row r="65" spans="1:9" s="656" customFormat="1" ht="12.75">
      <c r="A65" s="359" t="s">
        <v>775</v>
      </c>
      <c r="B65" s="920">
        <v>156750</v>
      </c>
      <c r="C65" s="921"/>
      <c r="D65" s="920">
        <v>156750</v>
      </c>
      <c r="E65" s="921"/>
      <c r="F65" s="920">
        <v>0</v>
      </c>
      <c r="G65" s="921"/>
      <c r="H65" s="352">
        <f t="shared" si="2"/>
        <v>0</v>
      </c>
      <c r="I65" s="659"/>
    </row>
    <row r="66" spans="1:9" s="656" customFormat="1" ht="12.75">
      <c r="A66" s="351" t="s">
        <v>960</v>
      </c>
      <c r="B66" s="920">
        <v>340500</v>
      </c>
      <c r="C66" s="921"/>
      <c r="D66" s="920">
        <v>340500</v>
      </c>
      <c r="E66" s="921"/>
      <c r="F66" s="920">
        <v>0</v>
      </c>
      <c r="G66" s="921"/>
      <c r="H66" s="352">
        <f t="shared" si="2"/>
        <v>0</v>
      </c>
      <c r="I66" s="659"/>
    </row>
    <row r="67" spans="1:9" s="656" customFormat="1" ht="12.75">
      <c r="A67" s="351" t="s">
        <v>961</v>
      </c>
      <c r="B67" s="920">
        <v>9405</v>
      </c>
      <c r="C67" s="921"/>
      <c r="D67" s="920">
        <v>9405</v>
      </c>
      <c r="E67" s="921"/>
      <c r="F67" s="920">
        <v>0</v>
      </c>
      <c r="G67" s="921"/>
      <c r="H67" s="352">
        <f t="shared" si="2"/>
        <v>0</v>
      </c>
      <c r="I67" s="659"/>
    </row>
    <row r="68" spans="1:9" s="656" customFormat="1" ht="12.75">
      <c r="A68" s="351" t="s">
        <v>774</v>
      </c>
      <c r="B68" s="1007">
        <f>B69+B70</f>
        <v>1055450</v>
      </c>
      <c r="C68" s="1008"/>
      <c r="D68" s="1007">
        <f>D69+D70</f>
        <v>1055450</v>
      </c>
      <c r="E68" s="1008"/>
      <c r="F68" s="1007">
        <f>F69+F70</f>
        <v>0</v>
      </c>
      <c r="G68" s="1008"/>
      <c r="H68" s="352">
        <f t="shared" si="2"/>
        <v>0</v>
      </c>
      <c r="I68" s="659"/>
    </row>
    <row r="69" spans="1:8" s="656" customFormat="1" ht="12.75">
      <c r="A69" s="360" t="s">
        <v>773</v>
      </c>
      <c r="B69" s="920">
        <v>1055450</v>
      </c>
      <c r="C69" s="921"/>
      <c r="D69" s="920">
        <v>1055450</v>
      </c>
      <c r="E69" s="921"/>
      <c r="F69" s="920">
        <v>0</v>
      </c>
      <c r="G69" s="921"/>
      <c r="H69" s="352">
        <f t="shared" si="2"/>
        <v>0</v>
      </c>
    </row>
    <row r="70" spans="1:8" s="656" customFormat="1" ht="12.75">
      <c r="A70" s="361" t="s">
        <v>772</v>
      </c>
      <c r="B70" s="920">
        <v>0</v>
      </c>
      <c r="C70" s="921"/>
      <c r="D70" s="920">
        <v>0</v>
      </c>
      <c r="E70" s="921"/>
      <c r="F70" s="920">
        <v>0</v>
      </c>
      <c r="G70" s="921"/>
      <c r="H70" s="352">
        <f t="shared" si="2"/>
        <v>0</v>
      </c>
    </row>
    <row r="71" spans="1:8" s="656" customFormat="1" ht="12.75">
      <c r="A71" s="351" t="s">
        <v>771</v>
      </c>
      <c r="B71" s="920">
        <v>0</v>
      </c>
      <c r="C71" s="921"/>
      <c r="D71" s="920">
        <v>0</v>
      </c>
      <c r="E71" s="921"/>
      <c r="F71" s="920">
        <v>0</v>
      </c>
      <c r="G71" s="921"/>
      <c r="H71" s="352">
        <f t="shared" si="2"/>
        <v>0</v>
      </c>
    </row>
    <row r="72" spans="1:8" s="656" customFormat="1" ht="12.75">
      <c r="A72" s="351" t="s">
        <v>770</v>
      </c>
      <c r="B72" s="920">
        <v>0</v>
      </c>
      <c r="C72" s="921"/>
      <c r="D72" s="920">
        <v>0</v>
      </c>
      <c r="E72" s="921"/>
      <c r="F72" s="920">
        <v>0</v>
      </c>
      <c r="G72" s="921"/>
      <c r="H72" s="352">
        <f t="shared" si="2"/>
        <v>0</v>
      </c>
    </row>
    <row r="73" spans="1:9" s="656" customFormat="1" ht="15" customHeight="1">
      <c r="A73" s="355" t="s">
        <v>769</v>
      </c>
      <c r="B73" s="1118">
        <f>SUM(B60,B61,B68,B71:C72)</f>
        <v>1984605</v>
      </c>
      <c r="C73" s="1119"/>
      <c r="D73" s="1118">
        <f>SUM(D60,D61,D68,D71:E72)</f>
        <v>1984605</v>
      </c>
      <c r="E73" s="1119"/>
      <c r="F73" s="1118">
        <f>SUM(F60,F61,F68,F71:G72)</f>
        <v>70061.37</v>
      </c>
      <c r="G73" s="1119"/>
      <c r="H73" s="356">
        <f t="shared" si="2"/>
        <v>0.03530242541966789</v>
      </c>
      <c r="I73" s="658"/>
    </row>
    <row r="74" spans="1:8" s="656" customFormat="1" ht="12.75">
      <c r="A74" s="1126" t="s">
        <v>206</v>
      </c>
      <c r="B74" s="1126"/>
      <c r="C74" s="1126"/>
      <c r="D74" s="1126"/>
      <c r="E74" s="1126"/>
      <c r="F74" s="1126"/>
      <c r="G74" s="1126"/>
      <c r="H74" s="1126"/>
    </row>
    <row r="75" spans="1:8" s="656" customFormat="1" ht="12.75">
      <c r="A75" s="357"/>
      <c r="B75" s="1079" t="s">
        <v>635</v>
      </c>
      <c r="C75" s="1080"/>
      <c r="D75" s="1124" t="s">
        <v>112</v>
      </c>
      <c r="E75" s="1125"/>
      <c r="F75" s="1127" t="s">
        <v>113</v>
      </c>
      <c r="G75" s="1128"/>
      <c r="H75" s="1128"/>
    </row>
    <row r="76" spans="1:8" s="656" customFormat="1" ht="12.75">
      <c r="A76" s="358" t="s">
        <v>207</v>
      </c>
      <c r="B76" s="1081"/>
      <c r="C76" s="1082"/>
      <c r="D76" s="1172" t="s">
        <v>116</v>
      </c>
      <c r="E76" s="1173"/>
      <c r="F76" s="1124" t="s">
        <v>119</v>
      </c>
      <c r="G76" s="1125"/>
      <c r="H76" s="348" t="s">
        <v>118</v>
      </c>
    </row>
    <row r="77" spans="1:8" s="656" customFormat="1" ht="12.75">
      <c r="A77" s="362"/>
      <c r="B77" s="1083"/>
      <c r="C77" s="1084"/>
      <c r="D77" s="1122" t="s">
        <v>120</v>
      </c>
      <c r="E77" s="1123"/>
      <c r="F77" s="1122" t="s">
        <v>121</v>
      </c>
      <c r="G77" s="1123"/>
      <c r="H77" s="350" t="s">
        <v>204</v>
      </c>
    </row>
    <row r="78" spans="1:8" s="656" customFormat="1" ht="12.75">
      <c r="A78" s="363" t="s">
        <v>768</v>
      </c>
      <c r="B78" s="1007">
        <f>SUM(B79:C84)</f>
        <v>1915173</v>
      </c>
      <c r="C78" s="1008"/>
      <c r="D78" s="1007">
        <f>SUM(D79:E84)</f>
        <v>1915173</v>
      </c>
      <c r="E78" s="1008"/>
      <c r="F78" s="1007">
        <f>SUM(F79:G84)</f>
        <v>1771323.94</v>
      </c>
      <c r="G78" s="1008"/>
      <c r="H78" s="352">
        <f aca="true" t="shared" si="3" ref="H78:H89">IF(D78="",0,IF(D78=0,0,F78/D78))</f>
        <v>0.9248897828029112</v>
      </c>
    </row>
    <row r="79" spans="1:8" s="656" customFormat="1" ht="12.75">
      <c r="A79" s="351" t="s">
        <v>767</v>
      </c>
      <c r="B79" s="920">
        <v>1543000</v>
      </c>
      <c r="C79" s="921"/>
      <c r="D79" s="920">
        <v>1543000</v>
      </c>
      <c r="E79" s="921"/>
      <c r="F79" s="920">
        <v>1323345.88</v>
      </c>
      <c r="G79" s="921"/>
      <c r="H79" s="352">
        <f t="shared" si="3"/>
        <v>0.8576447699287102</v>
      </c>
    </row>
    <row r="80" spans="1:8" s="656" customFormat="1" ht="12.75">
      <c r="A80" s="351" t="s">
        <v>766</v>
      </c>
      <c r="B80" s="920">
        <v>287900</v>
      </c>
      <c r="C80" s="921"/>
      <c r="D80" s="920">
        <v>287900</v>
      </c>
      <c r="E80" s="921"/>
      <c r="F80" s="920">
        <v>422348.04</v>
      </c>
      <c r="G80" s="921"/>
      <c r="H80" s="352">
        <f t="shared" si="3"/>
        <v>1.4669956234803752</v>
      </c>
    </row>
    <row r="81" spans="1:8" s="656" customFormat="1" ht="12.75">
      <c r="A81" s="351" t="s">
        <v>765</v>
      </c>
      <c r="B81" s="920">
        <v>1881</v>
      </c>
      <c r="C81" s="921"/>
      <c r="D81" s="920">
        <v>1881</v>
      </c>
      <c r="E81" s="921"/>
      <c r="F81" s="920">
        <v>2520</v>
      </c>
      <c r="G81" s="921"/>
      <c r="H81" s="352">
        <f t="shared" si="3"/>
        <v>1.3397129186602872</v>
      </c>
    </row>
    <row r="82" spans="1:8" s="656" customFormat="1" ht="12.75">
      <c r="A82" s="351" t="s">
        <v>764</v>
      </c>
      <c r="B82" s="920">
        <v>42450</v>
      </c>
      <c r="C82" s="921"/>
      <c r="D82" s="920">
        <v>42450</v>
      </c>
      <c r="E82" s="921"/>
      <c r="F82" s="920">
        <v>0</v>
      </c>
      <c r="G82" s="921"/>
      <c r="H82" s="352">
        <f t="shared" si="3"/>
        <v>0</v>
      </c>
    </row>
    <row r="83" spans="1:8" s="656" customFormat="1" ht="11.25" customHeight="1">
      <c r="A83" s="351" t="s">
        <v>763</v>
      </c>
      <c r="B83" s="920">
        <v>627</v>
      </c>
      <c r="C83" s="921"/>
      <c r="D83" s="920">
        <v>627</v>
      </c>
      <c r="E83" s="921"/>
      <c r="F83" s="920">
        <v>23110.02</v>
      </c>
      <c r="G83" s="921"/>
      <c r="H83" s="352">
        <f t="shared" si="3"/>
        <v>36.858086124401915</v>
      </c>
    </row>
    <row r="84" spans="1:8" s="656" customFormat="1" ht="12.75">
      <c r="A84" s="351" t="s">
        <v>762</v>
      </c>
      <c r="B84" s="920">
        <v>39315</v>
      </c>
      <c r="C84" s="921"/>
      <c r="D84" s="920">
        <v>39315</v>
      </c>
      <c r="E84" s="921"/>
      <c r="F84" s="920">
        <v>0</v>
      </c>
      <c r="G84" s="921"/>
      <c r="H84" s="352">
        <f t="shared" si="3"/>
        <v>0</v>
      </c>
    </row>
    <row r="85" spans="1:9" s="656" customFormat="1" ht="12.75">
      <c r="A85" s="351" t="s">
        <v>761</v>
      </c>
      <c r="B85" s="1007">
        <f>SUM(B86:C88)</f>
        <v>8319245</v>
      </c>
      <c r="C85" s="1008"/>
      <c r="D85" s="1007">
        <f>SUM(D86:E88)</f>
        <v>8319245</v>
      </c>
      <c r="E85" s="1008"/>
      <c r="F85" s="1007">
        <f>SUM(F86:G88)</f>
        <v>7298994.430000001</v>
      </c>
      <c r="G85" s="1008"/>
      <c r="H85" s="352">
        <f t="shared" si="3"/>
        <v>0.8773626008129344</v>
      </c>
      <c r="I85" s="659"/>
    </row>
    <row r="86" spans="1:8" s="656" customFormat="1" ht="12.75">
      <c r="A86" s="351" t="s">
        <v>760</v>
      </c>
      <c r="B86" s="920">
        <v>5287700</v>
      </c>
      <c r="C86" s="921"/>
      <c r="D86" s="920">
        <v>5287700</v>
      </c>
      <c r="E86" s="921"/>
      <c r="F86" s="920">
        <v>3600866.42</v>
      </c>
      <c r="G86" s="921"/>
      <c r="H86" s="352">
        <f t="shared" si="3"/>
        <v>0.6809891673128203</v>
      </c>
    </row>
    <row r="87" spans="1:8" s="656" customFormat="1" ht="12.75">
      <c r="A87" s="351" t="s">
        <v>759</v>
      </c>
      <c r="B87" s="920">
        <v>3016915</v>
      </c>
      <c r="C87" s="921"/>
      <c r="D87" s="920">
        <v>3016915</v>
      </c>
      <c r="E87" s="921"/>
      <c r="F87" s="920">
        <v>3681871.65</v>
      </c>
      <c r="G87" s="921"/>
      <c r="H87" s="352">
        <f t="shared" si="3"/>
        <v>1.2204094745791645</v>
      </c>
    </row>
    <row r="88" spans="1:8" s="656" customFormat="1" ht="12.75">
      <c r="A88" s="351" t="s">
        <v>758</v>
      </c>
      <c r="B88" s="920">
        <v>14630</v>
      </c>
      <c r="C88" s="921"/>
      <c r="D88" s="920">
        <v>14630</v>
      </c>
      <c r="E88" s="921"/>
      <c r="F88" s="920">
        <v>16256.36</v>
      </c>
      <c r="G88" s="921"/>
      <c r="H88" s="352">
        <f t="shared" si="3"/>
        <v>1.111166097060834</v>
      </c>
    </row>
    <row r="89" spans="1:8" s="656" customFormat="1" ht="12.75">
      <c r="A89" s="355" t="s">
        <v>757</v>
      </c>
      <c r="B89" s="1118">
        <f>B86-B78</f>
        <v>3372527</v>
      </c>
      <c r="C89" s="1119"/>
      <c r="D89" s="1118">
        <f>D86-D78</f>
        <v>3372527</v>
      </c>
      <c r="E89" s="1119"/>
      <c r="F89" s="1118">
        <f>F86-F78</f>
        <v>1829542.48</v>
      </c>
      <c r="G89" s="1119"/>
      <c r="H89" s="364">
        <f t="shared" si="3"/>
        <v>0.5424841609867023</v>
      </c>
    </row>
    <row r="90" spans="1:12" s="656" customFormat="1" ht="12.75" customHeight="1">
      <c r="A90" s="1182" t="s">
        <v>756</v>
      </c>
      <c r="B90" s="1182"/>
      <c r="C90" s="1182"/>
      <c r="D90" s="1182"/>
      <c r="E90" s="1183"/>
      <c r="F90" s="1184">
        <f>IF(F89&gt;0,F89,0)</f>
        <v>1829542.48</v>
      </c>
      <c r="G90" s="1184"/>
      <c r="H90" s="1120"/>
      <c r="I90" s="660"/>
      <c r="J90" s="660"/>
      <c r="K90" s="660"/>
      <c r="L90" s="658"/>
    </row>
    <row r="91" spans="1:12" s="656" customFormat="1" ht="12.75" customHeight="1">
      <c r="A91" s="1151" t="s">
        <v>755</v>
      </c>
      <c r="B91" s="1151"/>
      <c r="C91" s="1151"/>
      <c r="D91" s="1151"/>
      <c r="E91" s="1151"/>
      <c r="F91" s="1184">
        <f>IF(F89&lt;0,F89,0)</f>
        <v>0</v>
      </c>
      <c r="G91" s="1184"/>
      <c r="H91" s="1121"/>
      <c r="I91" s="661"/>
      <c r="J91" s="661"/>
      <c r="K91" s="661"/>
      <c r="L91" s="658"/>
    </row>
    <row r="92" spans="1:12" s="656" customFormat="1" ht="44.25" customHeight="1">
      <c r="A92" s="1080" t="s">
        <v>208</v>
      </c>
      <c r="B92" s="1100" t="s">
        <v>822</v>
      </c>
      <c r="C92" s="1100" t="s">
        <v>283</v>
      </c>
      <c r="D92" s="1088" t="s">
        <v>176</v>
      </c>
      <c r="E92" s="1089"/>
      <c r="F92" s="1088" t="s">
        <v>177</v>
      </c>
      <c r="G92" s="1090"/>
      <c r="H92" s="1114" t="s">
        <v>686</v>
      </c>
      <c r="I92" s="662"/>
      <c r="J92" s="663"/>
      <c r="K92" s="664"/>
      <c r="L92" s="658"/>
    </row>
    <row r="93" spans="1:12" s="656" customFormat="1" ht="12.75">
      <c r="A93" s="1082"/>
      <c r="B93" s="1101"/>
      <c r="C93" s="1101"/>
      <c r="D93" s="366" t="s">
        <v>119</v>
      </c>
      <c r="E93" s="348" t="s">
        <v>118</v>
      </c>
      <c r="F93" s="366" t="s">
        <v>119</v>
      </c>
      <c r="G93" s="348" t="s">
        <v>118</v>
      </c>
      <c r="H93" s="1115"/>
      <c r="I93" s="664"/>
      <c r="J93" s="664"/>
      <c r="K93" s="658"/>
      <c r="L93" s="658"/>
    </row>
    <row r="94" spans="1:12" s="656" customFormat="1" ht="12.75">
      <c r="A94" s="1084"/>
      <c r="B94" s="1101"/>
      <c r="C94" s="367" t="s">
        <v>180</v>
      </c>
      <c r="D94" s="367" t="s">
        <v>181</v>
      </c>
      <c r="E94" s="358" t="s">
        <v>209</v>
      </c>
      <c r="F94" s="367" t="s">
        <v>182</v>
      </c>
      <c r="G94" s="358" t="s">
        <v>674</v>
      </c>
      <c r="H94" s="368" t="s">
        <v>423</v>
      </c>
      <c r="I94" s="664"/>
      <c r="J94" s="664"/>
      <c r="K94" s="664"/>
      <c r="L94" s="658"/>
    </row>
    <row r="95" spans="1:8" s="656" customFormat="1" ht="12.75">
      <c r="A95" s="369" t="s">
        <v>754</v>
      </c>
      <c r="B95" s="370">
        <f>SUM(B96:B97)</f>
        <v>5226000</v>
      </c>
      <c r="C95" s="370">
        <f aca="true" t="shared" si="4" ref="C95:H95">SUM(C96:C97)</f>
        <v>5726000</v>
      </c>
      <c r="D95" s="370">
        <f t="shared" si="4"/>
        <v>4592471.77</v>
      </c>
      <c r="E95" s="371">
        <f>IF($C95="",0,IF($C95=0,0,D95/$C95))</f>
        <v>0.8020383810688089</v>
      </c>
      <c r="F95" s="370">
        <f t="shared" si="4"/>
        <v>4592471.77</v>
      </c>
      <c r="G95" s="371">
        <f>IF($C95="",0,IF($C95=0,0,F95/$C95))</f>
        <v>0.8020383810688089</v>
      </c>
      <c r="H95" s="372">
        <f t="shared" si="4"/>
        <v>0</v>
      </c>
    </row>
    <row r="96" spans="1:8" s="656" customFormat="1" ht="12.75">
      <c r="A96" s="373" t="s">
        <v>753</v>
      </c>
      <c r="B96" s="414">
        <v>0</v>
      </c>
      <c r="C96" s="414">
        <v>0</v>
      </c>
      <c r="D96" s="414">
        <v>0</v>
      </c>
      <c r="E96" s="374">
        <f aca="true" t="shared" si="5" ref="E96:E101">IF($C96="",0,IF($C96=0,0,D96/$C96))</f>
        <v>0</v>
      </c>
      <c r="F96" s="414">
        <v>0</v>
      </c>
      <c r="G96" s="374">
        <f aca="true" t="shared" si="6" ref="G96:G101">IF($C96="",0,IF($C96=0,0,F96/$C96))</f>
        <v>0</v>
      </c>
      <c r="H96" s="415">
        <v>0</v>
      </c>
    </row>
    <row r="97" spans="1:8" s="656" customFormat="1" ht="12.75">
      <c r="A97" s="373" t="s">
        <v>752</v>
      </c>
      <c r="B97" s="414">
        <v>5226000</v>
      </c>
      <c r="C97" s="414">
        <v>5726000</v>
      </c>
      <c r="D97" s="414">
        <v>4592471.77</v>
      </c>
      <c r="E97" s="374">
        <f t="shared" si="5"/>
        <v>0.8020383810688089</v>
      </c>
      <c r="F97" s="414">
        <v>4592471.77</v>
      </c>
      <c r="G97" s="374">
        <f t="shared" si="6"/>
        <v>0.8020383810688089</v>
      </c>
      <c r="H97" s="415">
        <v>0</v>
      </c>
    </row>
    <row r="98" spans="1:8" s="656" customFormat="1" ht="12.75">
      <c r="A98" s="373" t="s">
        <v>751</v>
      </c>
      <c r="B98" s="375">
        <f>SUM(B99:B100)</f>
        <v>3053440</v>
      </c>
      <c r="C98" s="375">
        <f>SUM(C99:C100)</f>
        <v>3823440</v>
      </c>
      <c r="D98" s="375">
        <f>SUM(D99:D100)</f>
        <v>1848460.19</v>
      </c>
      <c r="E98" s="374">
        <f t="shared" si="5"/>
        <v>0.4834547397108363</v>
      </c>
      <c r="F98" s="375">
        <f>SUM(F99:F100)</f>
        <v>1848460.19</v>
      </c>
      <c r="G98" s="374">
        <f t="shared" si="6"/>
        <v>0.4834547397108363</v>
      </c>
      <c r="H98" s="376">
        <f>SUM(H99:H100)</f>
        <v>0</v>
      </c>
    </row>
    <row r="99" spans="1:8" s="656" customFormat="1" ht="12.75">
      <c r="A99" s="373" t="s">
        <v>750</v>
      </c>
      <c r="B99" s="414">
        <v>0</v>
      </c>
      <c r="C99" s="414">
        <v>0</v>
      </c>
      <c r="D99" s="414">
        <v>0</v>
      </c>
      <c r="E99" s="374">
        <f t="shared" si="5"/>
        <v>0</v>
      </c>
      <c r="F99" s="414">
        <v>0</v>
      </c>
      <c r="G99" s="374">
        <f t="shared" si="6"/>
        <v>0</v>
      </c>
      <c r="H99" s="415">
        <v>0</v>
      </c>
    </row>
    <row r="100" spans="1:8" s="656" customFormat="1" ht="12.75">
      <c r="A100" s="377" t="s">
        <v>749</v>
      </c>
      <c r="B100" s="417">
        <v>3053440</v>
      </c>
      <c r="C100" s="417">
        <v>3823440</v>
      </c>
      <c r="D100" s="417">
        <v>1848460.19</v>
      </c>
      <c r="E100" s="378">
        <f t="shared" si="5"/>
        <v>0.4834547397108363</v>
      </c>
      <c r="F100" s="417">
        <v>1848460.19</v>
      </c>
      <c r="G100" s="378">
        <f t="shared" si="6"/>
        <v>0.4834547397108363</v>
      </c>
      <c r="H100" s="416">
        <v>0</v>
      </c>
    </row>
    <row r="101" spans="1:256" s="656" customFormat="1" ht="12.75">
      <c r="A101" s="379" t="s">
        <v>748</v>
      </c>
      <c r="B101" s="380">
        <f>B95+B98</f>
        <v>8279440</v>
      </c>
      <c r="C101" s="380">
        <f aca="true" t="shared" si="7" ref="C101:H101">C95+C98</f>
        <v>9549440</v>
      </c>
      <c r="D101" s="380">
        <f t="shared" si="7"/>
        <v>6440931.959999999</v>
      </c>
      <c r="E101" s="62">
        <f t="shared" si="5"/>
        <v>0.674482687990081</v>
      </c>
      <c r="F101" s="380">
        <f t="shared" si="7"/>
        <v>6440931.959999999</v>
      </c>
      <c r="G101" s="62">
        <f t="shared" si="6"/>
        <v>0.674482687990081</v>
      </c>
      <c r="H101" s="381">
        <f t="shared" si="7"/>
        <v>0</v>
      </c>
      <c r="IV101" s="650">
        <f>IF($A$7=$IV$12,IF(D101&lt;&gt;(F101+H101),0,1),1)</f>
        <v>1</v>
      </c>
    </row>
    <row r="102" spans="1:8" s="665" customFormat="1" ht="12.75" customHeight="1">
      <c r="A102" s="1137" t="s">
        <v>645</v>
      </c>
      <c r="B102" s="1137"/>
      <c r="C102" s="1137"/>
      <c r="D102" s="1137"/>
      <c r="E102" s="1137"/>
      <c r="F102" s="1137"/>
      <c r="G102" s="1136" t="s">
        <v>251</v>
      </c>
      <c r="H102" s="1137"/>
    </row>
    <row r="103" spans="1:8" s="656" customFormat="1" ht="12.75" customHeight="1">
      <c r="A103" s="1166" t="s">
        <v>747</v>
      </c>
      <c r="B103" s="1166"/>
      <c r="C103" s="1166"/>
      <c r="D103" s="382"/>
      <c r="E103" s="382"/>
      <c r="F103" s="383"/>
      <c r="G103" s="936">
        <f>SUM(G104:G105)</f>
        <v>0</v>
      </c>
      <c r="H103" s="937"/>
    </row>
    <row r="104" spans="1:8" s="656" customFormat="1" ht="12.75">
      <c r="A104" s="384" t="s">
        <v>746</v>
      </c>
      <c r="B104" s="384"/>
      <c r="C104" s="384"/>
      <c r="D104" s="384"/>
      <c r="E104" s="384"/>
      <c r="F104" s="385"/>
      <c r="G104" s="939">
        <v>0</v>
      </c>
      <c r="H104" s="940"/>
    </row>
    <row r="105" spans="1:8" s="656" customFormat="1" ht="12.75">
      <c r="A105" s="384" t="s">
        <v>745</v>
      </c>
      <c r="B105" s="384"/>
      <c r="C105" s="384"/>
      <c r="D105" s="384"/>
      <c r="E105" s="384"/>
      <c r="F105" s="385"/>
      <c r="G105" s="939">
        <v>0</v>
      </c>
      <c r="H105" s="940"/>
    </row>
    <row r="106" spans="1:8" s="656" customFormat="1" ht="12.75" customHeight="1">
      <c r="A106" s="1176" t="s">
        <v>744</v>
      </c>
      <c r="B106" s="1176"/>
      <c r="C106" s="1176"/>
      <c r="D106" s="1176"/>
      <c r="E106" s="384"/>
      <c r="F106" s="385"/>
      <c r="G106" s="1149">
        <f>SUM(G107:G108)</f>
        <v>0</v>
      </c>
      <c r="H106" s="1150"/>
    </row>
    <row r="107" spans="1:8" s="656" customFormat="1" ht="12.75">
      <c r="A107" s="384" t="s">
        <v>743</v>
      </c>
      <c r="B107" s="384"/>
      <c r="C107" s="384"/>
      <c r="D107" s="384"/>
      <c r="E107" s="384"/>
      <c r="F107" s="385"/>
      <c r="G107" s="939">
        <v>0</v>
      </c>
      <c r="H107" s="940"/>
    </row>
    <row r="108" spans="1:8" s="656" customFormat="1" ht="12.75">
      <c r="A108" s="386" t="s">
        <v>742</v>
      </c>
      <c r="B108" s="386"/>
      <c r="C108" s="386"/>
      <c r="D108" s="386"/>
      <c r="E108" s="386"/>
      <c r="F108" s="387"/>
      <c r="G108" s="939">
        <v>0</v>
      </c>
      <c r="H108" s="940"/>
    </row>
    <row r="109" spans="1:8" s="656" customFormat="1" ht="12.75" customHeight="1">
      <c r="A109" s="388" t="s">
        <v>741</v>
      </c>
      <c r="B109" s="388"/>
      <c r="C109" s="388"/>
      <c r="D109" s="388"/>
      <c r="E109" s="388"/>
      <c r="F109" s="389"/>
      <c r="G109" s="1170">
        <f>G103+G106</f>
        <v>0</v>
      </c>
      <c r="H109" s="1171"/>
    </row>
    <row r="110" spans="1:8" s="656" customFormat="1" ht="15.75" customHeight="1">
      <c r="A110" s="1137" t="s">
        <v>646</v>
      </c>
      <c r="B110" s="1137"/>
      <c r="C110" s="1137"/>
      <c r="D110" s="1137"/>
      <c r="E110" s="1137"/>
      <c r="F110" s="1154"/>
      <c r="G110" s="1136" t="s">
        <v>251</v>
      </c>
      <c r="H110" s="1137"/>
    </row>
    <row r="111" spans="1:8" s="656" customFormat="1" ht="12.75" customHeight="1">
      <c r="A111" s="390" t="s">
        <v>740</v>
      </c>
      <c r="B111" s="390"/>
      <c r="C111" s="390"/>
      <c r="D111" s="390"/>
      <c r="E111" s="390"/>
      <c r="F111" s="391"/>
      <c r="G111" s="956">
        <f>F101-G109</f>
        <v>6440931.959999999</v>
      </c>
      <c r="H111" s="993"/>
    </row>
    <row r="112" spans="1:8" s="656" customFormat="1" ht="14.25" customHeight="1">
      <c r="A112" s="392" t="s">
        <v>739</v>
      </c>
      <c r="B112" s="392"/>
      <c r="C112" s="392"/>
      <c r="D112" s="392"/>
      <c r="E112" s="392"/>
      <c r="F112" s="393"/>
      <c r="G112" s="1109">
        <f>IF(F$85="",0,IF(F$85=0,0,(F95-(G104+G107))/F$85))</f>
        <v>0.6291923927389542</v>
      </c>
      <c r="H112" s="1110"/>
    </row>
    <row r="113" spans="1:8" s="656" customFormat="1" ht="12.75" customHeight="1">
      <c r="A113" s="392" t="s">
        <v>738</v>
      </c>
      <c r="B113" s="392"/>
      <c r="C113" s="392"/>
      <c r="D113" s="392"/>
      <c r="E113" s="392"/>
      <c r="F113" s="393"/>
      <c r="G113" s="1109">
        <f>IF(F$85="",0,IF(F$85=0,0,(F98-(G105+G108))/F$85))</f>
        <v>0.25324860948003214</v>
      </c>
      <c r="H113" s="1110"/>
    </row>
    <row r="114" spans="1:8" s="656" customFormat="1" ht="13.5" customHeight="1">
      <c r="A114" s="1151" t="s">
        <v>737</v>
      </c>
      <c r="B114" s="1151"/>
      <c r="C114" s="1151"/>
      <c r="D114" s="1151"/>
      <c r="E114" s="1151"/>
      <c r="F114" s="1152"/>
      <c r="G114" s="1111">
        <f>IF(G112+G113=0,0,1-G112-G113)</f>
        <v>0.11755899778101364</v>
      </c>
      <c r="H114" s="1112"/>
    </row>
    <row r="115" spans="1:8" s="666" customFormat="1" ht="16.5" customHeight="1">
      <c r="A115" s="1137" t="s">
        <v>736</v>
      </c>
      <c r="B115" s="1137"/>
      <c r="C115" s="1137"/>
      <c r="D115" s="1137"/>
      <c r="E115" s="1137"/>
      <c r="F115" s="1154"/>
      <c r="G115" s="1136" t="s">
        <v>251</v>
      </c>
      <c r="H115" s="1137"/>
    </row>
    <row r="116" spans="1:8" s="656" customFormat="1" ht="18.75" customHeight="1">
      <c r="A116" s="1177" t="s">
        <v>1000</v>
      </c>
      <c r="B116" s="1177"/>
      <c r="C116" s="1177"/>
      <c r="D116" s="1177"/>
      <c r="E116" s="1177"/>
      <c r="F116" s="1178"/>
      <c r="G116" s="1086">
        <v>0</v>
      </c>
      <c r="H116" s="1087"/>
    </row>
    <row r="117" spans="1:8" s="656" customFormat="1" ht="18.75" customHeight="1">
      <c r="A117" s="1174" t="s">
        <v>999</v>
      </c>
      <c r="B117" s="1174"/>
      <c r="C117" s="1174"/>
      <c r="D117" s="1174"/>
      <c r="E117" s="1174"/>
      <c r="F117" s="1175"/>
      <c r="G117" s="959">
        <v>0</v>
      </c>
      <c r="H117" s="1113"/>
    </row>
    <row r="118" spans="1:8" s="656" customFormat="1" ht="12.75">
      <c r="A118" s="1179" t="s">
        <v>735</v>
      </c>
      <c r="B118" s="1179"/>
      <c r="C118" s="1179"/>
      <c r="D118" s="1179"/>
      <c r="E118" s="1179"/>
      <c r="F118" s="1179"/>
      <c r="G118" s="1179"/>
      <c r="H118" s="1179"/>
    </row>
    <row r="119" spans="1:8" s="656" customFormat="1" ht="12.75">
      <c r="A119" s="1092" t="s">
        <v>410</v>
      </c>
      <c r="B119" s="1079" t="s">
        <v>635</v>
      </c>
      <c r="C119" s="1080"/>
      <c r="D119" s="1079" t="s">
        <v>281</v>
      </c>
      <c r="E119" s="1080"/>
      <c r="F119" s="1127" t="s">
        <v>113</v>
      </c>
      <c r="G119" s="1128"/>
      <c r="H119" s="1128"/>
    </row>
    <row r="120" spans="1:12" s="656" customFormat="1" ht="12.75">
      <c r="A120" s="1094"/>
      <c r="B120" s="1081"/>
      <c r="C120" s="1082"/>
      <c r="D120" s="1081"/>
      <c r="E120" s="1082"/>
      <c r="F120" s="1124" t="s">
        <v>119</v>
      </c>
      <c r="G120" s="1125"/>
      <c r="H120" s="348" t="s">
        <v>118</v>
      </c>
      <c r="I120" s="658"/>
      <c r="J120" s="658"/>
      <c r="K120" s="658"/>
      <c r="L120" s="658"/>
    </row>
    <row r="121" spans="1:12" s="656" customFormat="1" ht="12.75">
      <c r="A121" s="1096"/>
      <c r="B121" s="1083"/>
      <c r="C121" s="1084"/>
      <c r="D121" s="1122" t="s">
        <v>120</v>
      </c>
      <c r="E121" s="1123"/>
      <c r="F121" s="1122" t="s">
        <v>121</v>
      </c>
      <c r="G121" s="1123"/>
      <c r="H121" s="350" t="s">
        <v>204</v>
      </c>
      <c r="I121" s="660"/>
      <c r="J121" s="660"/>
      <c r="K121" s="660"/>
      <c r="L121" s="658"/>
    </row>
    <row r="122" spans="1:12" s="656" customFormat="1" ht="15.75">
      <c r="A122" s="394" t="s">
        <v>734</v>
      </c>
      <c r="B122" s="1155">
        <f>B56*0.25</f>
        <v>3564687.5</v>
      </c>
      <c r="C122" s="1156"/>
      <c r="D122" s="1155">
        <f>D56*0.25</f>
        <v>3564687.5</v>
      </c>
      <c r="E122" s="1156"/>
      <c r="F122" s="1155">
        <f>F56*0.25</f>
        <v>3070370.3699999996</v>
      </c>
      <c r="G122" s="1156"/>
      <c r="H122" s="395">
        <f>IF(D122="",0,IF(D122=0,0,F122/D122))</f>
        <v>0.8613294629613394</v>
      </c>
      <c r="I122" s="667"/>
      <c r="J122" s="661"/>
      <c r="K122" s="661"/>
      <c r="L122" s="658"/>
    </row>
    <row r="123" spans="1:12" s="656" customFormat="1" ht="44.25" customHeight="1">
      <c r="A123" s="1092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100" t="s">
        <v>822</v>
      </c>
      <c r="C123" s="1100" t="s">
        <v>283</v>
      </c>
      <c r="D123" s="1088" t="str">
        <f>IF(IV140=0,"ERRO!!!","DESPESAS EMPENHADAS")</f>
        <v>DESPESAS EMPENHADAS</v>
      </c>
      <c r="E123" s="1089"/>
      <c r="F123" s="1088" t="str">
        <f>IF(IV140=0,"ERRO!!!","DESPESAS LIQUIDADAS")</f>
        <v>DESPESAS LIQUIDADAS</v>
      </c>
      <c r="G123" s="1090"/>
      <c r="H123" s="1114" t="s">
        <v>686</v>
      </c>
      <c r="I123" s="662"/>
      <c r="J123" s="663"/>
      <c r="K123" s="664"/>
      <c r="L123" s="658"/>
    </row>
    <row r="124" spans="1:12" s="656" customFormat="1" ht="12.75">
      <c r="A124" s="1094"/>
      <c r="B124" s="1101"/>
      <c r="C124" s="1101"/>
      <c r="D124" s="366" t="s">
        <v>119</v>
      </c>
      <c r="E124" s="348" t="s">
        <v>118</v>
      </c>
      <c r="F124" s="366" t="s">
        <v>119</v>
      </c>
      <c r="G124" s="348" t="s">
        <v>118</v>
      </c>
      <c r="H124" s="1115"/>
      <c r="I124" s="664"/>
      <c r="J124" s="664"/>
      <c r="K124" s="658"/>
      <c r="L124" s="658"/>
    </row>
    <row r="125" spans="1:12" s="656" customFormat="1" ht="12.75">
      <c r="A125" s="1096"/>
      <c r="B125" s="1102"/>
      <c r="C125" s="396" t="s">
        <v>180</v>
      </c>
      <c r="D125" s="396" t="s">
        <v>181</v>
      </c>
      <c r="E125" s="358" t="s">
        <v>209</v>
      </c>
      <c r="F125" s="396" t="s">
        <v>182</v>
      </c>
      <c r="G125" s="350" t="s">
        <v>674</v>
      </c>
      <c r="H125" s="368" t="s">
        <v>423</v>
      </c>
      <c r="I125" s="664"/>
      <c r="J125" s="664"/>
      <c r="K125" s="664"/>
      <c r="L125" s="658"/>
    </row>
    <row r="126" spans="1:12" s="656" customFormat="1" ht="12.75">
      <c r="A126" s="363" t="s">
        <v>733</v>
      </c>
      <c r="B126" s="397">
        <f>B127+B130</f>
        <v>457600</v>
      </c>
      <c r="C126" s="397">
        <f aca="true" t="shared" si="8" ref="C126:H126">C127+C130</f>
        <v>477600</v>
      </c>
      <c r="D126" s="398">
        <f t="shared" si="8"/>
        <v>16554.85</v>
      </c>
      <c r="E126" s="68">
        <f>IF($C126="",0,IF($C126=0,0,D126/$C126))</f>
        <v>0.0346625837520938</v>
      </c>
      <c r="F126" s="399">
        <f t="shared" si="8"/>
        <v>16554.85</v>
      </c>
      <c r="G126" s="68">
        <f>IF($C126="",0,IF($C126=0,0,F126/$C126))</f>
        <v>0.0346625837520938</v>
      </c>
      <c r="H126" s="398">
        <f t="shared" si="8"/>
        <v>0</v>
      </c>
      <c r="I126" s="658"/>
      <c r="J126" s="658"/>
      <c r="K126" s="658"/>
      <c r="L126" s="658"/>
    </row>
    <row r="127" spans="1:12" s="656" customFormat="1" ht="12.75">
      <c r="A127" s="351" t="s">
        <v>732</v>
      </c>
      <c r="B127" s="400">
        <f>SUM(B128:B129)</f>
        <v>198640</v>
      </c>
      <c r="C127" s="400">
        <f>SUM(C128:C129)</f>
        <v>198640</v>
      </c>
      <c r="D127" s="401">
        <f>SUM(D128:D129)</f>
        <v>0</v>
      </c>
      <c r="E127" s="62">
        <f aca="true" t="shared" si="9" ref="E127:G140">IF($C127="",0,IF($C127=0,0,D127/$C127))</f>
        <v>0</v>
      </c>
      <c r="F127" s="402">
        <f>SUM(F128:F129)</f>
        <v>0</v>
      </c>
      <c r="G127" s="62">
        <f t="shared" si="9"/>
        <v>0</v>
      </c>
      <c r="H127" s="401">
        <f>SUM(H128:H129)</f>
        <v>0</v>
      </c>
      <c r="I127" s="658"/>
      <c r="J127" s="658"/>
      <c r="K127" s="658"/>
      <c r="L127" s="658"/>
    </row>
    <row r="128" spans="1:8" s="656" customFormat="1" ht="12.75">
      <c r="A128" s="351" t="s">
        <v>731</v>
      </c>
      <c r="B128" s="418">
        <v>0</v>
      </c>
      <c r="C128" s="418">
        <v>0</v>
      </c>
      <c r="D128" s="415">
        <v>0</v>
      </c>
      <c r="E128" s="62">
        <f t="shared" si="9"/>
        <v>0</v>
      </c>
      <c r="F128" s="419">
        <v>0</v>
      </c>
      <c r="G128" s="62">
        <f t="shared" si="9"/>
        <v>0</v>
      </c>
      <c r="H128" s="415">
        <v>0</v>
      </c>
    </row>
    <row r="129" spans="1:8" s="656" customFormat="1" ht="12.75">
      <c r="A129" s="351" t="s">
        <v>730</v>
      </c>
      <c r="B129" s="418">
        <v>198640</v>
      </c>
      <c r="C129" s="418">
        <v>198640</v>
      </c>
      <c r="D129" s="415">
        <v>0</v>
      </c>
      <c r="E129" s="62">
        <f t="shared" si="9"/>
        <v>0</v>
      </c>
      <c r="F129" s="419">
        <v>0</v>
      </c>
      <c r="G129" s="62">
        <f t="shared" si="9"/>
        <v>0</v>
      </c>
      <c r="H129" s="415">
        <v>0</v>
      </c>
    </row>
    <row r="130" spans="1:8" s="656" customFormat="1" ht="12.75">
      <c r="A130" s="351" t="s">
        <v>729</v>
      </c>
      <c r="B130" s="400">
        <f>SUM(B131:B132)</f>
        <v>258960</v>
      </c>
      <c r="C130" s="400">
        <f>SUM(C131:C132)</f>
        <v>278960</v>
      </c>
      <c r="D130" s="401">
        <f>SUM(D131:D132)</f>
        <v>16554.85</v>
      </c>
      <c r="E130" s="62">
        <f t="shared" si="9"/>
        <v>0.059344888156008024</v>
      </c>
      <c r="F130" s="402">
        <f>SUM(F131:F132)</f>
        <v>16554.85</v>
      </c>
      <c r="G130" s="62">
        <f t="shared" si="9"/>
        <v>0.059344888156008024</v>
      </c>
      <c r="H130" s="401">
        <f>SUM(H131:H132)</f>
        <v>0</v>
      </c>
    </row>
    <row r="131" spans="1:8" s="656" customFormat="1" ht="12.75">
      <c r="A131" s="351" t="s">
        <v>728</v>
      </c>
      <c r="B131" s="418">
        <v>0</v>
      </c>
      <c r="C131" s="418">
        <v>0</v>
      </c>
      <c r="D131" s="415">
        <v>0</v>
      </c>
      <c r="E131" s="62">
        <f t="shared" si="9"/>
        <v>0</v>
      </c>
      <c r="F131" s="419">
        <v>0</v>
      </c>
      <c r="G131" s="62">
        <f t="shared" si="9"/>
        <v>0</v>
      </c>
      <c r="H131" s="415">
        <v>0</v>
      </c>
    </row>
    <row r="132" spans="1:8" s="656" customFormat="1" ht="12.75">
      <c r="A132" s="351" t="s">
        <v>727</v>
      </c>
      <c r="B132" s="418">
        <v>258960</v>
      </c>
      <c r="C132" s="418">
        <v>278960</v>
      </c>
      <c r="D132" s="415">
        <v>16554.85</v>
      </c>
      <c r="E132" s="62">
        <f t="shared" si="9"/>
        <v>0.059344888156008024</v>
      </c>
      <c r="F132" s="419">
        <v>16554.85</v>
      </c>
      <c r="G132" s="62">
        <f t="shared" si="9"/>
        <v>0.059344888156008024</v>
      </c>
      <c r="H132" s="415">
        <v>0</v>
      </c>
    </row>
    <row r="133" spans="1:8" s="656" customFormat="1" ht="12.75">
      <c r="A133" s="351" t="s">
        <v>726</v>
      </c>
      <c r="B133" s="400">
        <f>SUM(B134:B135)</f>
        <v>9709120</v>
      </c>
      <c r="C133" s="400">
        <f>SUM(C134:C135)</f>
        <v>12999570.5</v>
      </c>
      <c r="D133" s="401">
        <f>SUM(D134:D135)</f>
        <v>8657392.24</v>
      </c>
      <c r="E133" s="62">
        <f t="shared" si="9"/>
        <v>0.6659752520285189</v>
      </c>
      <c r="F133" s="402">
        <f>SUM(F134:F135)</f>
        <v>8657392.24</v>
      </c>
      <c r="G133" s="62">
        <f t="shared" si="9"/>
        <v>0.6659752520285189</v>
      </c>
      <c r="H133" s="401">
        <f>SUM(H134:H135)</f>
        <v>0</v>
      </c>
    </row>
    <row r="134" spans="1:8" s="656" customFormat="1" ht="12.75">
      <c r="A134" s="351" t="s">
        <v>725</v>
      </c>
      <c r="B134" s="418">
        <v>8279440</v>
      </c>
      <c r="C134" s="418">
        <v>9549440</v>
      </c>
      <c r="D134" s="415">
        <v>6440931.96</v>
      </c>
      <c r="E134" s="62">
        <f t="shared" si="9"/>
        <v>0.674482687990081</v>
      </c>
      <c r="F134" s="419">
        <v>6440931.96</v>
      </c>
      <c r="G134" s="62">
        <f t="shared" si="9"/>
        <v>0.674482687990081</v>
      </c>
      <c r="H134" s="415">
        <v>0</v>
      </c>
    </row>
    <row r="135" spans="1:8" s="656" customFormat="1" ht="12.75">
      <c r="A135" s="351" t="s">
        <v>724</v>
      </c>
      <c r="B135" s="418">
        <v>1429680</v>
      </c>
      <c r="C135" s="418">
        <v>3450130.5</v>
      </c>
      <c r="D135" s="415">
        <v>2216460.28</v>
      </c>
      <c r="E135" s="62">
        <f t="shared" si="9"/>
        <v>0.6424279545367921</v>
      </c>
      <c r="F135" s="419">
        <v>2216460.28</v>
      </c>
      <c r="G135" s="62">
        <f t="shared" si="9"/>
        <v>0.6424279545367921</v>
      </c>
      <c r="H135" s="415">
        <v>0</v>
      </c>
    </row>
    <row r="136" spans="1:8" s="656" customFormat="1" ht="12.75">
      <c r="A136" s="351" t="s">
        <v>723</v>
      </c>
      <c r="B136" s="418">
        <v>0</v>
      </c>
      <c r="C136" s="418">
        <v>0</v>
      </c>
      <c r="D136" s="415">
        <v>0</v>
      </c>
      <c r="E136" s="62">
        <f t="shared" si="9"/>
        <v>0</v>
      </c>
      <c r="F136" s="419">
        <v>0</v>
      </c>
      <c r="G136" s="62">
        <f t="shared" si="9"/>
        <v>0</v>
      </c>
      <c r="H136" s="415">
        <v>0</v>
      </c>
    </row>
    <row r="137" spans="1:8" s="656" customFormat="1" ht="12.75">
      <c r="A137" s="351" t="s">
        <v>722</v>
      </c>
      <c r="B137" s="418">
        <v>0</v>
      </c>
      <c r="C137" s="418">
        <v>0</v>
      </c>
      <c r="D137" s="415">
        <v>0</v>
      </c>
      <c r="E137" s="62">
        <f t="shared" si="9"/>
        <v>0</v>
      </c>
      <c r="F137" s="419">
        <v>0</v>
      </c>
      <c r="G137" s="62">
        <f t="shared" si="9"/>
        <v>0</v>
      </c>
      <c r="H137" s="415">
        <v>0</v>
      </c>
    </row>
    <row r="138" spans="1:8" s="656" customFormat="1" ht="12.75">
      <c r="A138" s="351" t="s">
        <v>721</v>
      </c>
      <c r="B138" s="418">
        <v>0</v>
      </c>
      <c r="C138" s="418">
        <v>0</v>
      </c>
      <c r="D138" s="415">
        <v>0</v>
      </c>
      <c r="E138" s="62">
        <f t="shared" si="9"/>
        <v>0</v>
      </c>
      <c r="F138" s="419">
        <v>0</v>
      </c>
      <c r="G138" s="62">
        <f t="shared" si="9"/>
        <v>0</v>
      </c>
      <c r="H138" s="415">
        <v>0</v>
      </c>
    </row>
    <row r="139" spans="1:8" s="656" customFormat="1" ht="12.75">
      <c r="A139" s="379" t="s">
        <v>720</v>
      </c>
      <c r="B139" s="418">
        <v>1220960</v>
      </c>
      <c r="C139" s="418">
        <v>1470960</v>
      </c>
      <c r="D139" s="415">
        <v>277528.35</v>
      </c>
      <c r="E139" s="69">
        <f t="shared" si="9"/>
        <v>0.18867158182411484</v>
      </c>
      <c r="F139" s="419">
        <v>277528.35</v>
      </c>
      <c r="G139" s="69">
        <f t="shared" si="9"/>
        <v>0.18867158182411484</v>
      </c>
      <c r="H139" s="415">
        <v>0</v>
      </c>
    </row>
    <row r="140" spans="1:256" s="656" customFormat="1" ht="12.75">
      <c r="A140" s="379" t="s">
        <v>719</v>
      </c>
      <c r="B140" s="403">
        <f>SUM(B126,B133,B136:B139)</f>
        <v>11387680</v>
      </c>
      <c r="C140" s="403">
        <f>SUM(C126,C133,C136:C139)</f>
        <v>14948130.5</v>
      </c>
      <c r="D140" s="403">
        <f>SUM(D126,D133,D136:D139)</f>
        <v>8951475.44</v>
      </c>
      <c r="E140" s="63">
        <f t="shared" si="9"/>
        <v>0.5988357835115233</v>
      </c>
      <c r="F140" s="403">
        <f>SUM(F126,F133,F136:F139)</f>
        <v>8951475.44</v>
      </c>
      <c r="G140" s="63">
        <f t="shared" si="9"/>
        <v>0.5988357835115233</v>
      </c>
      <c r="H140" s="404">
        <f>SUM(H126,H133,H136:H139)</f>
        <v>0</v>
      </c>
      <c r="IV140" s="650">
        <f>IF($A$7=$IV$12,IF(D140&lt;&gt;(F140+H140),0,1),1)</f>
        <v>1</v>
      </c>
    </row>
    <row r="141" spans="1:8" s="656" customFormat="1" ht="12.75">
      <c r="A141" s="1091" t="s">
        <v>411</v>
      </c>
      <c r="B141" s="1091"/>
      <c r="C141" s="1091"/>
      <c r="D141" s="1091"/>
      <c r="E141" s="1091"/>
      <c r="F141" s="1092"/>
      <c r="G141" s="1167" t="s">
        <v>251</v>
      </c>
      <c r="H141" s="1091"/>
    </row>
    <row r="142" spans="1:8" s="656" customFormat="1" ht="12.75">
      <c r="A142" s="1093"/>
      <c r="B142" s="1093"/>
      <c r="C142" s="1093"/>
      <c r="D142" s="1093"/>
      <c r="E142" s="1093"/>
      <c r="F142" s="1094"/>
      <c r="G142" s="1168"/>
      <c r="H142" s="1093"/>
    </row>
    <row r="143" spans="1:8" s="656" customFormat="1" ht="12.75">
      <c r="A143" s="1095"/>
      <c r="B143" s="1095"/>
      <c r="C143" s="1095"/>
      <c r="D143" s="1095"/>
      <c r="E143" s="1095"/>
      <c r="F143" s="1096"/>
      <c r="G143" s="1169"/>
      <c r="H143" s="1095"/>
    </row>
    <row r="144" spans="1:8" s="665" customFormat="1" ht="12.75">
      <c r="A144" s="405" t="s">
        <v>718</v>
      </c>
      <c r="B144" s="405"/>
      <c r="C144" s="405"/>
      <c r="D144" s="405"/>
      <c r="E144" s="405"/>
      <c r="F144" s="406"/>
      <c r="G144" s="1180">
        <f>F89</f>
        <v>1829542.48</v>
      </c>
      <c r="H144" s="1181"/>
    </row>
    <row r="145" spans="1:8" s="665" customFormat="1" ht="12.75">
      <c r="A145" s="407" t="s">
        <v>717</v>
      </c>
      <c r="B145" s="407"/>
      <c r="C145" s="407"/>
      <c r="D145" s="407"/>
      <c r="E145" s="407"/>
      <c r="F145" s="406"/>
      <c r="G145" s="944">
        <v>3681871.65</v>
      </c>
      <c r="H145" s="1105"/>
    </row>
    <row r="146" spans="1:8" s="665" customFormat="1" ht="12.75" customHeight="1">
      <c r="A146" s="1106" t="s">
        <v>716</v>
      </c>
      <c r="B146" s="1106"/>
      <c r="C146" s="1106"/>
      <c r="D146" s="407"/>
      <c r="E146" s="407"/>
      <c r="F146" s="408"/>
      <c r="G146" s="1103">
        <f>F88</f>
        <v>16256.36</v>
      </c>
      <c r="H146" s="1104"/>
    </row>
    <row r="147" spans="1:8" s="665" customFormat="1" ht="12.75" customHeight="1">
      <c r="A147" s="1106" t="s">
        <v>715</v>
      </c>
      <c r="B147" s="1106"/>
      <c r="C147" s="1106"/>
      <c r="D147" s="407"/>
      <c r="E147" s="407"/>
      <c r="F147" s="408"/>
      <c r="G147" s="944">
        <v>0</v>
      </c>
      <c r="H147" s="1105"/>
    </row>
    <row r="148" spans="1:8" s="665" customFormat="1" ht="12.75" customHeight="1">
      <c r="A148" s="1106" t="s">
        <v>714</v>
      </c>
      <c r="B148" s="1106"/>
      <c r="C148" s="1106"/>
      <c r="D148" s="407"/>
      <c r="E148" s="407"/>
      <c r="F148" s="408"/>
      <c r="G148" s="944">
        <v>0</v>
      </c>
      <c r="H148" s="1105"/>
    </row>
    <row r="149" spans="1:8" s="665" customFormat="1" ht="17.25" customHeight="1">
      <c r="A149" s="1106" t="s">
        <v>713</v>
      </c>
      <c r="B149" s="1106"/>
      <c r="C149" s="1106"/>
      <c r="D149" s="1106"/>
      <c r="E149" s="407"/>
      <c r="F149" s="408"/>
      <c r="G149" s="944">
        <v>0</v>
      </c>
      <c r="H149" s="1105"/>
    </row>
    <row r="150" spans="1:8" s="665" customFormat="1" ht="12.75" customHeight="1">
      <c r="A150" s="1153" t="s">
        <v>850</v>
      </c>
      <c r="B150" s="1153"/>
      <c r="C150" s="1153"/>
      <c r="D150" s="1153"/>
      <c r="E150" s="1153"/>
      <c r="F150" s="1153"/>
      <c r="G150" s="944">
        <v>0</v>
      </c>
      <c r="H150" s="1105"/>
    </row>
    <row r="151" spans="1:12" s="656" customFormat="1" ht="15.75" customHeight="1">
      <c r="A151" s="1097" t="s">
        <v>948</v>
      </c>
      <c r="B151" s="1097"/>
      <c r="C151" s="1097"/>
      <c r="D151" s="1097"/>
      <c r="E151" s="1097"/>
      <c r="F151" s="1098"/>
      <c r="G151" s="1107">
        <f>SUM(G144:H150)</f>
        <v>5527670.49</v>
      </c>
      <c r="H151" s="1108"/>
      <c r="I151" s="658"/>
      <c r="J151" s="658"/>
      <c r="K151" s="658"/>
      <c r="L151" s="658"/>
    </row>
    <row r="152" spans="1:12" s="656" customFormat="1" ht="15.75">
      <c r="A152" s="388" t="s">
        <v>947</v>
      </c>
      <c r="B152" s="388"/>
      <c r="C152" s="388"/>
      <c r="D152" s="388"/>
      <c r="E152" s="388"/>
      <c r="F152" s="389"/>
      <c r="G152" s="1107">
        <f>F126+F133-G151</f>
        <v>3146276.5999999996</v>
      </c>
      <c r="H152" s="1108"/>
      <c r="I152" s="658"/>
      <c r="J152" s="658"/>
      <c r="K152" s="658"/>
      <c r="L152" s="658"/>
    </row>
    <row r="153" spans="1:12" s="670" customFormat="1" ht="16.5" customHeight="1">
      <c r="A153" s="1157" t="s">
        <v>946</v>
      </c>
      <c r="B153" s="1157"/>
      <c r="C153" s="1157"/>
      <c r="D153" s="1157"/>
      <c r="E153" s="1157"/>
      <c r="F153" s="1158"/>
      <c r="G153" s="1116">
        <f>IF(IV14=1,"Erro planilha INFORMAÇÕES INICIAIS!",IF(IV140=0,"VERIFIQUE ERRO ACIMA!",IF(F56="",0,IF(F56=0,0,(G152/F56)))))</f>
        <v>0.2561805434567166</v>
      </c>
      <c r="H153" s="1117"/>
      <c r="I153" s="668"/>
      <c r="J153" s="668"/>
      <c r="K153" s="668"/>
      <c r="L153" s="669"/>
    </row>
    <row r="154" spans="1:12" s="656" customFormat="1" ht="12.75">
      <c r="A154" s="1099" t="s">
        <v>412</v>
      </c>
      <c r="B154" s="1099"/>
      <c r="C154" s="1099"/>
      <c r="D154" s="1099"/>
      <c r="E154" s="1099"/>
      <c r="F154" s="1099"/>
      <c r="G154" s="1099"/>
      <c r="H154" s="1099"/>
      <c r="I154" s="661"/>
      <c r="J154" s="661"/>
      <c r="K154" s="661"/>
      <c r="L154" s="658"/>
    </row>
    <row r="155" spans="1:12" s="656" customFormat="1" ht="44.25" customHeight="1">
      <c r="A155" s="1092" t="s">
        <v>712</v>
      </c>
      <c r="B155" s="1100" t="s">
        <v>822</v>
      </c>
      <c r="C155" s="1100" t="s">
        <v>283</v>
      </c>
      <c r="D155" s="1088" t="s">
        <v>176</v>
      </c>
      <c r="E155" s="1089"/>
      <c r="F155" s="1088" t="s">
        <v>177</v>
      </c>
      <c r="G155" s="1090"/>
      <c r="H155" s="1114" t="s">
        <v>686</v>
      </c>
      <c r="I155" s="662"/>
      <c r="J155" s="663"/>
      <c r="K155" s="664"/>
      <c r="L155" s="658"/>
    </row>
    <row r="156" spans="1:12" s="656" customFormat="1" ht="12.75">
      <c r="A156" s="1094"/>
      <c r="B156" s="1101"/>
      <c r="C156" s="1101"/>
      <c r="D156" s="366" t="s">
        <v>119</v>
      </c>
      <c r="E156" s="348" t="s">
        <v>118</v>
      </c>
      <c r="F156" s="366" t="s">
        <v>119</v>
      </c>
      <c r="G156" s="348" t="s">
        <v>118</v>
      </c>
      <c r="H156" s="1115"/>
      <c r="I156" s="664"/>
      <c r="J156" s="664"/>
      <c r="K156" s="658"/>
      <c r="L156" s="658"/>
    </row>
    <row r="157" spans="1:12" s="656" customFormat="1" ht="12.75">
      <c r="A157" s="1096"/>
      <c r="B157" s="1102"/>
      <c r="C157" s="396" t="s">
        <v>180</v>
      </c>
      <c r="D157" s="396" t="s">
        <v>181</v>
      </c>
      <c r="E157" s="350" t="s">
        <v>209</v>
      </c>
      <c r="F157" s="396" t="s">
        <v>182</v>
      </c>
      <c r="G157" s="350" t="s">
        <v>674</v>
      </c>
      <c r="H157" s="368" t="s">
        <v>423</v>
      </c>
      <c r="I157" s="664"/>
      <c r="J157" s="664"/>
      <c r="K157" s="664"/>
      <c r="L157" s="658"/>
    </row>
    <row r="158" spans="1:12" s="656" customFormat="1" ht="25.5">
      <c r="A158" s="359" t="s">
        <v>711</v>
      </c>
      <c r="B158" s="337">
        <v>0</v>
      </c>
      <c r="C158" s="420">
        <v>0</v>
      </c>
      <c r="D158" s="337">
        <v>0</v>
      </c>
      <c r="E158" s="62">
        <f aca="true" t="shared" si="10" ref="E158:E163">IF($C158="",0,IF($C158=0,0,D158/$C158))</f>
        <v>0</v>
      </c>
      <c r="F158" s="418">
        <v>0</v>
      </c>
      <c r="G158" s="62">
        <f aca="true" t="shared" si="11" ref="G158:G163">IF($C158="",0,IF($C158=0,0,F158/$C158))</f>
        <v>0</v>
      </c>
      <c r="H158" s="422">
        <v>0</v>
      </c>
      <c r="I158" s="658"/>
      <c r="J158" s="658"/>
      <c r="K158" s="658"/>
      <c r="L158" s="658"/>
    </row>
    <row r="159" spans="1:8" s="656" customFormat="1" ht="14.25" customHeight="1">
      <c r="A159" s="359" t="s">
        <v>710</v>
      </c>
      <c r="B159" s="421">
        <v>349360</v>
      </c>
      <c r="C159" s="337">
        <v>349360</v>
      </c>
      <c r="D159" s="337">
        <v>0</v>
      </c>
      <c r="E159" s="62">
        <f t="shared" si="10"/>
        <v>0</v>
      </c>
      <c r="F159" s="418">
        <v>0</v>
      </c>
      <c r="G159" s="62">
        <f t="shared" si="11"/>
        <v>0</v>
      </c>
      <c r="H159" s="336">
        <v>0</v>
      </c>
    </row>
    <row r="160" spans="1:8" s="656" customFormat="1" ht="12.75">
      <c r="A160" s="409" t="s">
        <v>709</v>
      </c>
      <c r="B160" s="336">
        <v>0</v>
      </c>
      <c r="C160" s="336">
        <v>0</v>
      </c>
      <c r="D160" s="336">
        <v>0</v>
      </c>
      <c r="E160" s="62">
        <f t="shared" si="10"/>
        <v>0</v>
      </c>
      <c r="F160" s="418">
        <v>0</v>
      </c>
      <c r="G160" s="62">
        <f t="shared" si="11"/>
        <v>0</v>
      </c>
      <c r="H160" s="336">
        <v>0</v>
      </c>
    </row>
    <row r="161" spans="1:8" s="656" customFormat="1" ht="12.75" customHeight="1">
      <c r="A161" s="410" t="s">
        <v>708</v>
      </c>
      <c r="B161" s="421">
        <v>0</v>
      </c>
      <c r="C161" s="337">
        <v>0</v>
      </c>
      <c r="D161" s="337">
        <v>48070.75</v>
      </c>
      <c r="E161" s="62">
        <f t="shared" si="10"/>
        <v>0</v>
      </c>
      <c r="F161" s="418">
        <v>48070.75</v>
      </c>
      <c r="G161" s="62">
        <f t="shared" si="11"/>
        <v>0</v>
      </c>
      <c r="H161" s="338">
        <v>0</v>
      </c>
    </row>
    <row r="162" spans="1:8" s="656" customFormat="1" ht="25.5" customHeight="1">
      <c r="A162" s="410" t="s">
        <v>950</v>
      </c>
      <c r="B162" s="254">
        <f>SUM(B158:B161)</f>
        <v>349360</v>
      </c>
      <c r="C162" s="254">
        <f aca="true" t="shared" si="12" ref="C162:H162">SUM(C158:C161)</f>
        <v>349360</v>
      </c>
      <c r="D162" s="254">
        <f t="shared" si="12"/>
        <v>48070.75</v>
      </c>
      <c r="E162" s="63">
        <f t="shared" si="10"/>
        <v>0.1375966052209755</v>
      </c>
      <c r="F162" s="254">
        <f t="shared" si="12"/>
        <v>48070.75</v>
      </c>
      <c r="G162" s="63">
        <f t="shared" si="11"/>
        <v>0.1375966052209755</v>
      </c>
      <c r="H162" s="278">
        <f t="shared" si="12"/>
        <v>0</v>
      </c>
    </row>
    <row r="163" spans="1:8" s="656" customFormat="1" ht="12.75">
      <c r="A163" s="410" t="s">
        <v>951</v>
      </c>
      <c r="B163" s="411">
        <f>B140+B162</f>
        <v>11737040</v>
      </c>
      <c r="C163" s="411">
        <f aca="true" t="shared" si="13" ref="C163:H163">C140+C162</f>
        <v>15297490.5</v>
      </c>
      <c r="D163" s="411">
        <f t="shared" si="13"/>
        <v>8999546.19</v>
      </c>
      <c r="E163" s="62">
        <f t="shared" si="10"/>
        <v>0.5883021264174015</v>
      </c>
      <c r="F163" s="411">
        <f t="shared" si="13"/>
        <v>8999546.19</v>
      </c>
      <c r="G163" s="62">
        <f t="shared" si="11"/>
        <v>0.5883021264174015</v>
      </c>
      <c r="H163" s="412">
        <f t="shared" si="13"/>
        <v>0</v>
      </c>
    </row>
    <row r="164" spans="1:8" s="656" customFormat="1" ht="12.75" customHeight="1">
      <c r="A164" s="1091" t="s">
        <v>210</v>
      </c>
      <c r="B164" s="1092"/>
      <c r="C164" s="1079" t="s">
        <v>211</v>
      </c>
      <c r="D164" s="1142"/>
      <c r="E164" s="1080"/>
      <c r="F164" s="1159" t="s">
        <v>1001</v>
      </c>
      <c r="G164" s="1160"/>
      <c r="H164" s="1160"/>
    </row>
    <row r="165" spans="1:8" s="656" customFormat="1" ht="12.75">
      <c r="A165" s="1093"/>
      <c r="B165" s="1094"/>
      <c r="C165" s="1081"/>
      <c r="D165" s="1165"/>
      <c r="E165" s="1082"/>
      <c r="F165" s="1161"/>
      <c r="G165" s="1162"/>
      <c r="H165" s="1162"/>
    </row>
    <row r="166" spans="1:8" s="656" customFormat="1" ht="12.75">
      <c r="A166" s="1095"/>
      <c r="B166" s="1096"/>
      <c r="C166" s="1083"/>
      <c r="D166" s="1143"/>
      <c r="E166" s="1084"/>
      <c r="F166" s="1163"/>
      <c r="G166" s="1164"/>
      <c r="H166" s="1164"/>
    </row>
    <row r="167" spans="1:8" s="656" customFormat="1" ht="12.75">
      <c r="A167" s="1147" t="s">
        <v>707</v>
      </c>
      <c r="B167" s="1148"/>
      <c r="C167" s="956">
        <f>SUM(C168:E169)</f>
        <v>4954149.9399999995</v>
      </c>
      <c r="D167" s="993"/>
      <c r="E167" s="957"/>
      <c r="F167" s="956">
        <f>SUM(F168:H169)</f>
        <v>0</v>
      </c>
      <c r="G167" s="993"/>
      <c r="H167" s="993"/>
    </row>
    <row r="168" spans="1:8" s="656" customFormat="1" ht="12.75">
      <c r="A168" s="1134" t="s">
        <v>706</v>
      </c>
      <c r="B168" s="1135"/>
      <c r="C168" s="920">
        <v>2312.3</v>
      </c>
      <c r="D168" s="1048"/>
      <c r="E168" s="921"/>
      <c r="F168" s="920">
        <v>0</v>
      </c>
      <c r="G168" s="1048"/>
      <c r="H168" s="1048"/>
    </row>
    <row r="169" spans="1:8" s="656" customFormat="1" ht="12.75">
      <c r="A169" s="1138" t="s">
        <v>705</v>
      </c>
      <c r="B169" s="1139"/>
      <c r="C169" s="959">
        <v>4951837.64</v>
      </c>
      <c r="D169" s="1113"/>
      <c r="E169" s="960"/>
      <c r="F169" s="959">
        <v>0</v>
      </c>
      <c r="G169" s="1113"/>
      <c r="H169" s="1113"/>
    </row>
    <row r="170" spans="1:8" s="656" customFormat="1" ht="12.75">
      <c r="A170" s="1144" t="s">
        <v>647</v>
      </c>
      <c r="B170" s="1144"/>
      <c r="C170" s="1144"/>
      <c r="D170" s="1144"/>
      <c r="E170" s="1144"/>
      <c r="F170" s="1144"/>
      <c r="G170" s="1079" t="s">
        <v>251</v>
      </c>
      <c r="H170" s="1142"/>
    </row>
    <row r="171" spans="1:8" s="656" customFormat="1" ht="25.5" customHeight="1">
      <c r="A171" s="1145"/>
      <c r="B171" s="1145"/>
      <c r="C171" s="1145"/>
      <c r="D171" s="1145"/>
      <c r="E171" s="1145"/>
      <c r="F171" s="1145"/>
      <c r="G171" s="1083"/>
      <c r="H171" s="1143"/>
    </row>
    <row r="172" spans="1:8" s="656" customFormat="1" ht="15.75">
      <c r="A172" s="57" t="s">
        <v>1002</v>
      </c>
      <c r="B172" s="382"/>
      <c r="C172" s="382"/>
      <c r="D172" s="382"/>
      <c r="E172" s="382"/>
      <c r="F172" s="383"/>
      <c r="G172" s="1086">
        <v>0</v>
      </c>
      <c r="H172" s="1087"/>
    </row>
    <row r="173" spans="1:8" s="656" customFormat="1" ht="12.75">
      <c r="A173" s="384" t="s">
        <v>704</v>
      </c>
      <c r="B173" s="384"/>
      <c r="C173" s="384"/>
      <c r="D173" s="384"/>
      <c r="E173" s="384"/>
      <c r="F173" s="385"/>
      <c r="G173" s="920">
        <v>7282738.07</v>
      </c>
      <c r="H173" s="1048"/>
    </row>
    <row r="174" spans="1:9" s="656" customFormat="1" ht="12.75">
      <c r="A174" s="384" t="s">
        <v>703</v>
      </c>
      <c r="B174" s="384"/>
      <c r="C174" s="384"/>
      <c r="D174" s="384"/>
      <c r="E174" s="384"/>
      <c r="F174" s="385"/>
      <c r="G174" s="1007">
        <f>SUM(ABS(G175)+ABS(G176))</f>
        <v>5350378.52</v>
      </c>
      <c r="H174" s="1052"/>
      <c r="I174" s="343"/>
    </row>
    <row r="175" spans="1:8" s="656" customFormat="1" ht="12.75">
      <c r="A175" s="384" t="s">
        <v>702</v>
      </c>
      <c r="B175" s="384"/>
      <c r="C175" s="384"/>
      <c r="D175" s="384"/>
      <c r="E175" s="384"/>
      <c r="F175" s="354"/>
      <c r="G175" s="920">
        <v>5350378.52</v>
      </c>
      <c r="H175" s="1048"/>
    </row>
    <row r="176" spans="1:8" s="656" customFormat="1" ht="12.75">
      <c r="A176" s="384" t="s">
        <v>701</v>
      </c>
      <c r="B176" s="384"/>
      <c r="C176" s="384"/>
      <c r="D176" s="384"/>
      <c r="E176" s="384"/>
      <c r="F176" s="385"/>
      <c r="G176" s="920">
        <v>0</v>
      </c>
      <c r="H176" s="1048"/>
    </row>
    <row r="177" spans="1:9" s="656" customFormat="1" ht="12.75">
      <c r="A177" s="384" t="s">
        <v>700</v>
      </c>
      <c r="B177" s="384"/>
      <c r="C177" s="384"/>
      <c r="D177" s="384"/>
      <c r="E177" s="384"/>
      <c r="F177" s="385"/>
      <c r="G177" s="920">
        <v>0</v>
      </c>
      <c r="H177" s="1048"/>
      <c r="I177" s="343"/>
    </row>
    <row r="178" spans="1:9" s="656" customFormat="1" ht="12.75">
      <c r="A178" s="388" t="s">
        <v>699</v>
      </c>
      <c r="B178" s="388"/>
      <c r="C178" s="388"/>
      <c r="D178" s="388"/>
      <c r="E178" s="388"/>
      <c r="F178" s="389"/>
      <c r="G178" s="817">
        <f>G172+G173-G174+G177</f>
        <v>1932359.5500000007</v>
      </c>
      <c r="H178" s="1141"/>
      <c r="I178" s="343"/>
    </row>
    <row r="179" spans="1:8" s="656" customFormat="1" ht="12.75">
      <c r="A179" s="1146" t="s">
        <v>630</v>
      </c>
      <c r="B179" s="1146"/>
      <c r="C179" s="1146"/>
      <c r="D179" s="1146"/>
      <c r="E179" s="1146"/>
      <c r="F179" s="1146"/>
      <c r="G179" s="1146"/>
      <c r="H179" s="1146"/>
    </row>
    <row r="180" spans="1:8" s="656" customFormat="1" ht="12.75" customHeight="1">
      <c r="A180" s="1185" t="s">
        <v>698</v>
      </c>
      <c r="B180" s="1185"/>
      <c r="C180" s="1185"/>
      <c r="D180" s="1185"/>
      <c r="E180" s="1185"/>
      <c r="F180" s="1185"/>
      <c r="G180" s="1185"/>
      <c r="H180" s="1185"/>
    </row>
    <row r="181" spans="1:8" s="656" customFormat="1" ht="24.75" customHeight="1">
      <c r="A181" s="1140" t="s">
        <v>697</v>
      </c>
      <c r="B181" s="1140"/>
      <c r="C181" s="1140"/>
      <c r="D181" s="1140"/>
      <c r="E181" s="1140"/>
      <c r="F181" s="1140"/>
      <c r="G181" s="1140"/>
      <c r="H181" s="1140"/>
    </row>
    <row r="182" spans="1:8" s="656" customFormat="1" ht="12.75" customHeight="1">
      <c r="A182" s="1186" t="s">
        <v>696</v>
      </c>
      <c r="B182" s="1186"/>
      <c r="C182" s="1186"/>
      <c r="D182" s="1186"/>
      <c r="E182" s="1186"/>
      <c r="F182" s="1186"/>
      <c r="G182" s="1186"/>
      <c r="H182" s="1186"/>
    </row>
    <row r="183" spans="1:8" s="656" customFormat="1" ht="12.75" customHeight="1">
      <c r="A183" s="1140" t="s">
        <v>695</v>
      </c>
      <c r="B183" s="1140"/>
      <c r="C183" s="1140"/>
      <c r="D183" s="1140"/>
      <c r="E183" s="1140"/>
      <c r="F183" s="1140"/>
      <c r="G183" s="1140"/>
      <c r="H183" s="1140"/>
    </row>
    <row r="184" spans="1:8" s="656" customFormat="1" ht="12.75" customHeight="1">
      <c r="A184" s="1186" t="s">
        <v>694</v>
      </c>
      <c r="B184" s="1186"/>
      <c r="C184" s="1186"/>
      <c r="D184" s="1186"/>
      <c r="E184" s="1186"/>
      <c r="F184" s="1186"/>
      <c r="G184" s="1186"/>
      <c r="H184" s="1186"/>
    </row>
    <row r="185" spans="1:8" ht="15" customHeight="1">
      <c r="A185" s="1187" t="s">
        <v>944</v>
      </c>
      <c r="B185" s="1187"/>
      <c r="C185" s="1187"/>
      <c r="D185" s="1187"/>
      <c r="E185" s="1187"/>
      <c r="F185" s="1187"/>
      <c r="G185" s="1187"/>
      <c r="H185" s="1187"/>
    </row>
    <row r="186" spans="1:8" ht="16.5" customHeight="1">
      <c r="A186" s="1187" t="s">
        <v>945</v>
      </c>
      <c r="B186" s="1187"/>
      <c r="C186" s="1187"/>
      <c r="D186" s="1187"/>
      <c r="E186" s="1187"/>
      <c r="F186" s="1187"/>
      <c r="G186" s="1187"/>
      <c r="H186" s="1187"/>
    </row>
  </sheetData>
  <sheetProtection password="C236" sheet="1" objects="1" scenarios="1" formatColumns="0" selectLockedCells="1"/>
  <mergeCells count="344">
    <mergeCell ref="A180:H180"/>
    <mergeCell ref="A182:H182"/>
    <mergeCell ref="A183:H183"/>
    <mergeCell ref="A184:H184"/>
    <mergeCell ref="A186:H186"/>
    <mergeCell ref="A185:H185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</mergeCells>
  <conditionalFormatting sqref="G153:H153">
    <cfRule type="expression" priority="1" dxfId="0" stopIfTrue="1">
      <formula>IV14=1</formula>
    </cfRule>
    <cfRule type="cellIs" priority="4" dxfId="4" operator="lessThan" stopIfTrue="1">
      <formula>0.25</formula>
    </cfRule>
  </conditionalFormatting>
  <conditionalFormatting sqref="A8">
    <cfRule type="cellIs" priority="2" dxfId="4" operator="lessThan" stopIfTrue="1">
      <formula>0.25</formula>
    </cfRule>
    <cfRule type="expression" priority="3" dxfId="0" stopIfTrue="1">
      <formula>$D$140&lt;($F$140+$H$140)</formula>
    </cfRule>
  </conditionalFormatting>
  <conditionalFormatting sqref="G153 F123 D123 A123">
    <cfRule type="expression" priority="5" dxfId="0" stopIfTrue="1">
      <formula>$IV$140=0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37007874015748" right="0.1968503937007874" top="0.5905511811023623" bottom="0.1968503937007874" header="0.11811023622047245" footer="0.11811023622047245"/>
  <pageSetup horizontalDpi="600" verticalDpi="600" orientation="landscape" paperSize="9" scale="75" r:id="rId1"/>
  <rowBreaks count="3" manualBreakCount="3">
    <brk id="56" max="255" man="1"/>
    <brk id="10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Maycon</cp:lastModifiedBy>
  <cp:lastPrinted>2016-02-24T12:01:41Z</cp:lastPrinted>
  <dcterms:created xsi:type="dcterms:W3CDTF">2004-08-09T19:29:24Z</dcterms:created>
  <dcterms:modified xsi:type="dcterms:W3CDTF">2016-12-01T17:38:07Z</dcterms:modified>
  <cp:category/>
  <cp:version/>
  <cp:contentType/>
  <cp:contentStatus/>
</cp:coreProperties>
</file>